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psardoni\OneDrive - Penn Engineering\Documents\Conflict Minerals\"/>
    </mc:Choice>
  </mc:AlternateContent>
  <xr:revisionPtr revIDLastSave="0" documentId="13_ncr:1_{82ABE7D6-0837-485D-BC39-757192BD1FD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6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V13" i="5"/>
  <c r="J13" i="5"/>
  <c r="E13" i="5"/>
  <c r="S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<sst xmlns="http://schemas.openxmlformats.org/spreadsheetml/2006/main" count="22338" uniqueCount="15828">
  <si>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</si>
  <si>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</si>
  <si>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</si>
  <si>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</si>
  <si>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</si>
  <si>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</si>
  <si>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</si>
  <si>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</si>
  <si>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</si>
  <si>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</si>
  <si>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</si>
  <si>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</si>
  <si>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</si>
  <si>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</si>
  <si>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</si>
  <si>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</si>
  <si>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</si>
  <si>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</si>
  <si>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</si>
  <si>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</si>
  <si>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</si>
  <si>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</si>
  <si>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</si>
  <si>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</si>
  <si>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</si>
  <si>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</si>
  <si>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</si>
  <si>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</si>
  <si>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</si>
  <si>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</si>
  <si>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</si>
  <si>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</si>
  <si>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</si>
  <si>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</si>
  <si>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</si>
  <si>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</si>
  <si>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</si>
  <si>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</si>
  <si>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</si>
  <si>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</si>
  <si>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</si>
  <si>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</si>
  <si>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</si>
  <si>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</si>
  <si>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</si>
  <si>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</si>
  <si>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</si>
  <si>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</si>
  <si>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</si>
  <si>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</si>
  <si>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</si>
  <si>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</si>
  <si>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</si>
  <si>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</si>
  <si>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</si>
  <si>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</si>
  <si>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</si>
  <si>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</si>
  <si>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</si>
  <si>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</si>
  <si>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</si>
  <si>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</si>
  <si>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</si>
  <si>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</si>
  <si>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</si>
  <si>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</si>
  <si>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</si>
  <si>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</si>
  <si>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</si>
  <si>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</si>
  <si>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</si>
  <si>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</si>
  <si>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</si>
  <si>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</si>
  <si>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</si>
  <si>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</si>
  <si>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</si>
  <si>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</si>
  <si>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</si>
  <si>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</si>
  <si>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</si>
  <si>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</si>
  <si>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</si>
  <si>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</si>
  <si>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</si>
  <si>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</si>
  <si>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</si>
  <si>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</si>
  <si>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</si>
  <si>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</si>
  <si>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</si>
  <si>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</si>
  <si>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</si>
  <si>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</si>
  <si>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</si>
  <si>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</si>
  <si>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</si>
  <si>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</si>
  <si>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</si>
  <si>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</si>
  <si>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</si>
  <si>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</si>
  <si>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</si>
  <si>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</si>
  <si>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</si>
  <si>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</si>
  <si>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</si>
  <si>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</si>
  <si>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</si>
  <si>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</si>
  <si>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</si>
  <si>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</si>
  <si>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</si>
  <si>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</si>
  <si>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</si>
  <si>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</si>
  <si>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</si>
  <si>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</si>
  <si>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</si>
  <si>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</si>
  <si>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</si>
  <si>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</si>
  <si>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</si>
  <si>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</si>
  <si>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</si>
  <si>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</si>
  <si>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</si>
  <si>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</si>
  <si>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</si>
  <si>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</si>
  <si>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</si>
  <si>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</si>
  <si>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</si>
  <si>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</si>
  <si>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</si>
  <si>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</si>
  <si>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</si>
  <si>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</si>
  <si>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</si>
  <si>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</si>
  <si>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</si>
  <si>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</si>
  <si>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</si>
  <si>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</si>
  <si>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</si>
  <si>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</si>
  <si>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</si>
  <si>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</si>
  <si>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</si>
  <si>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</si>
  <si>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</si>
  <si>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</si>
  <si>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</si>
  <si>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</si>
  <si>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</si>
  <si>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</si>
  <si>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</si>
  <si>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</si>
  <si>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</si>
  <si>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</si>
  <si>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</si>
  <si>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</si>
  <si>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</si>
  <si>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</si>
  <si>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</si>
  <si>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</si>
  <si>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</si>
  <si>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</si>
  <si>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</si>
  <si>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</si>
  <si>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</si>
  <si>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</si>
  <si>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</si>
  <si>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</si>
  <si>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</si>
  <si>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</si>
  <si>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</si>
  <si>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</si>
  <si>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</si>
  <si>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</si>
  <si>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</si>
  <si>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</si>
  <si>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</si>
  <si>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</si>
  <si>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</si>
  <si>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</si>
  <si>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</si>
  <si>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</si>
  <si>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</si>
  <si>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</si>
  <si>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</si>
  <si>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</si>
  <si>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</si>
  <si>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</si>
  <si>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</si>
  <si>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</si>
  <si>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</si>
  <si>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</si>
  <si>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</si>
  <si>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</si>
  <si>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</si>
  <si>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</si>
  <si>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</si>
  <si>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</si>
  <si>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</si>
  <si>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</si>
  <si>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</si>
  <si>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</si>
  <si>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</si>
  <si>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</si>
  <si>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</si>
  <si>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</si>
  <si>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</si>
  <si>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</si>
  <si>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</si>
  <si>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</si>
  <si>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</si>
  <si>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</si>
  <si>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</si>
  <si>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</si>
  <si>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</si>
  <si>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</si>
  <si>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</si>
  <si>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</si>
  <si>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</si>
  <si>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</si>
  <si>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</si>
  <si>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</si>
  <si>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</si>
  <si>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</si>
  <si>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</si>
  <si>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</si>
  <si>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</si>
  <si>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</si>
  <si>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</si>
  <si>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</si>
  <si>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</si>
  <si>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</si>
  <si>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</si>
  <si>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</si>
  <si>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</si>
  <si>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</si>
  <si>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</si>
  <si>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</si>
  <si>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</si>
  <si>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</si>
  <si>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</si>
  <si>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</si>
  <si>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</si>
  <si>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</si>
  <si>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</si>
  <si>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</si>
  <si>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</si>
  <si>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</si>
  <si>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</si>
  <si>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</si>
  <si>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</si>
  <si>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</si>
  <si>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</si>
  <si>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</si>
  <si>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</si>
  <si>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</si>
  <si>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</si>
  <si>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</si>
  <si>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</si>
  <si>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</si>
  <si>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</si>
  <si>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</si>
  <si>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</si>
  <si>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</si>
  <si>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</si>
  <si>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</si>
  <si>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</si>
  <si>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</si>
  <si>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</si>
  <si>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</si>
  <si>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</si>
  <si>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</si>
  <si>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</si>
  <si>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</si>
  <si>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</si>
  <si>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</si>
  <si>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</si>
  <si>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</si>
  <si>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</si>
  <si>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</si>
  <si>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</si>
  <si>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</si>
  <si>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</si>
  <si>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</si>
  <si>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</si>
  <si>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</si>
  <si>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</si>
  <si>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</si>
  <si>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</si>
  <si>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</si>
  <si>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</si>
  <si>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</si>
  <si>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</si>
  <si>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</si>
  <si>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</si>
  <si>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</si>
  <si>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</si>
  <si>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</si>
  <si>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</si>
  <si>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</si>
  <si>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</si>
  <si>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</si>
  <si>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</si>
  <si>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</si>
  <si>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</si>
  <si>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</si>
  <si>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</si>
  <si>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</si>
  <si>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</si>
  <si>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</si>
  <si>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</si>
  <si>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</si>
  <si>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</si>
  <si>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</si>
  <si>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</si>
  <si>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</si>
  <si>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</si>
  <si>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</si>
  <si>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</si>
  <si>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</si>
  <si>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</si>
  <si>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</si>
  <si>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</si>
  <si>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</si>
  <si>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</si>
  <si>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</si>
  <si>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</si>
  <si>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</si>
  <si>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</si>
  <si>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</si>
  <si>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</si>
  <si>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</si>
  <si>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</si>
  <si>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</si>
  <si>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</si>
  <si>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</si>
  <si>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</si>
  <si>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</si>
  <si>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</si>
  <si>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</si>
  <si>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</si>
  <si>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</si>
  <si>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</si>
  <si>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</si>
  <si>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</si>
  <si>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</si>
  <si>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</si>
  <si>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</si>
  <si>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</si>
  <si>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</si>
  <si>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</si>
  <si>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</si>
  <si>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</si>
  <si>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</si>
  <si>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</si>
  <si>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</si>
  <si>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</si>
  <si>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</si>
  <si>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</si>
  <si>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</si>
  <si>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</si>
  <si>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</si>
  <si>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</si>
  <si>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</si>
  <si>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</si>
  <si>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</si>
  <si>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</si>
  <si>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</si>
  <si>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</si>
  <si>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</si>
  <si>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</si>
  <si>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</si>
  <si>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</si>
  <si>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</si>
  <si>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</si>
  <si>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</si>
  <si>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</si>
  <si>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</si>
  <si>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</si>
  <si>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</si>
  <si>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</si>
  <si>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</si>
  <si>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</si>
  <si>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</si>
  <si>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</si>
  <si>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</si>
  <si>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</si>
  <si>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</si>
  <si>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</si>
  <si>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</si>
  <si>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</si>
  <si>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</si>
  <si>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</si>
  <si>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</si>
  <si>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</si>
  <si>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</si>
  <si>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</si>
  <si>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</si>
  <si>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</si>
  <si>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</si>
  <si>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</si>
  <si>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</si>
  <si>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</si>
  <si>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</si>
  <si>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</si>
  <si>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</si>
  <si>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</si>
  <si>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</si>
  <si>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</si>
  <si>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</si>
  <si>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</si>
  <si>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</si>
  <si>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</si>
  <si>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</si>
  <si>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</si>
  <si>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</si>
  <si>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</si>
  <si>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</si>
  <si>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</si>
  <si>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</si>
  <si>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</si>
  <si>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</si>
  <si>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</si>
  <si>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</si>
  <si>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</si>
  <si>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</si>
  <si>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</si>
  <si>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</si>
  <si>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</si>
  <si>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</si>
  <si>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</si>
  <si>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</si>
  <si>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</si>
  <si>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</si>
  <si>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</si>
  <si>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</si>
  <si>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</si>
  <si>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</si>
  <si>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</si>
  <si>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</si>
  <si>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</si>
  <si>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</si>
  <si>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</si>
  <si>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</si>
  <si>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</si>
  <si>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</si>
  <si>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</si>
  <si>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</si>
  <si>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</si>
  <si>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</si>
  <si>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</si>
  <si>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</si>
  <si>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</si>
  <si>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</si>
  <si>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</si>
  <si>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</si>
  <si>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</si>
  <si>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</si>
  <si>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</si>
  <si>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</si>
  <si>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</si>
  <si>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</si>
  <si>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</si>
  <si>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</si>
  <si>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</si>
  <si>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</si>
  <si>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</si>
  <si>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</si>
  <si>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</si>
  <si>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</si>
  <si>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</si>
  <si>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</si>
  <si>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</si>
  <si>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</si>
  <si>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</si>
  <si>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</si>
  <si>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</si>
  <si>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</si>
  <si>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</si>
  <si>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</si>
  <si>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</si>
  <si>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</si>
  <si>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</si>
  <si>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</si>
  <si>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</si>
  <si>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</si>
  <si>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</si>
  <si>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</si>
  <si>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</si>
  <si>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</si>
  <si>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</si>
  <si>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</si>
  <si>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</si>
  <si>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</si>
  <si>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</si>
  <si>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</si>
  <si>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</si>
  <si>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</si>
  <si>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</si>
  <si>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</si>
  <si>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</si>
  <si>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</si>
  <si>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</si>
  <si>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</si>
  <si>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</si>
  <si>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</si>
  <si>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</si>
  <si>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</si>
  <si>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</si>
  <si>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</si>
  <si>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</si>
  <si>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</si>
  <si>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</si>
  <si>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</si>
  <si>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</si>
  <si>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</si>
  <si>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</si>
  <si>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</si>
  <si>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</si>
  <si>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</si>
  <si>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</si>
  <si>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</si>
  <si>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</si>
  <si>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</si>
  <si>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</si>
  <si>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</si>
  <si>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</si>
  <si>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</si>
  <si>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</si>
  <si>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</si>
  <si>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</si>
  <si>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</si>
  <si>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</si>
  <si>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</si>
  <si>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</si>
  <si>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</si>
  <si>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</si>
  <si>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</si>
  <si>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</si>
  <si>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</si>
  <si>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</si>
  <si>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</si>
  <si>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</si>
  <si>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</si>
  <si>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</si>
  <si>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</si>
  <si>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</si>
  <si>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</si>
  <si>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</si>
  <si>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</si>
  <si>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</si>
  <si>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</si>
  <si>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</si>
  <si>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</si>
  <si>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</si>
  <si>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</si>
  <si>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</si>
  <si>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</si>
  <si>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</si>
  <si>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</si>
  <si>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</si>
  <si>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</si>
  <si>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</si>
  <si>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</si>
  <si>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</si>
  <si>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</si>
  <si>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</si>
  <si>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</si>
  <si>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</si>
  <si>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</si>
  <si>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</si>
  <si>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</si>
  <si>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</si>
  <si>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</si>
  <si>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</si>
  <si>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</si>
  <si>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</si>
  <si>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</si>
  <si>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</si>
  <si>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</si>
  <si>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</si>
  <si>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</si>
  <si>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</si>
  <si>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</si>
  <si>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</si>
  <si>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</si>
  <si>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</si>
  <si>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</si>
  <si>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</si>
  <si>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</si>
  <si>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</si>
  <si>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</si>
  <si>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</si>
  <si>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</si>
  <si>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</si>
  <si>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</si>
  <si>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</si>
  <si>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</si>
  <si>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</si>
  <si>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</si>
  <si>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</si>
  <si>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</si>
  <si>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</si>
  <si>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</si>
  <si>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</si>
  <si>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</si>
  <si>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</si>
  <si>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</si>
  <si>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</si>
  <si>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</si>
  <si>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</si>
  <si>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</si>
  <si>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</si>
  <si>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</si>
  <si>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</si>
  <si>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</si>
  <si>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</si>
  <si>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</si>
  <si>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</si>
  <si>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</si>
  <si>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</si>
  <si>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</si>
  <si>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</si>
  <si>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</si>
  <si>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</si>
  <si>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</si>
  <si>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</si>
  <si>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</si>
  <si>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</si>
  <si>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</si>
  <si>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</si>
  <si>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</si>
  <si>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</si>
  <si>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</si>
  <si>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</si>
  <si>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</si>
  <si>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</si>
  <si>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</si>
  <si>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</si>
  <si>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</si>
  <si>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</si>
  <si>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</si>
  <si>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</si>
  <si>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</si>
  <si>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</si>
  <si>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</si>
  <si>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</si>
  <si>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</si>
  <si>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</si>
  <si>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</si>
  <si>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</si>
  <si>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</si>
  <si>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</si>
  <si>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</si>
  <si>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</si>
  <si>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</si>
  <si>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</si>
  <si>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</si>
  <si>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</si>
  <si>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</si>
  <si>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</si>
  <si>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</si>
  <si>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</si>
  <si>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</si>
  <si>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</si>
  <si>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</si>
  <si>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</si>
  <si>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</si>
  <si>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</si>
  <si>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</si>
  <si>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</si>
  <si>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</si>
  <si>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</si>
  <si>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</si>
  <si>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</si>
  <si>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</si>
  <si>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</si>
  <si>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</si>
  <si>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</si>
  <si>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</si>
  <si>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</si>
  <si>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</si>
  <si>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</si>
  <si>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</si>
  <si>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</si>
  <si>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</si>
  <si>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</si>
  <si>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</si>
  <si>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</si>
  <si>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</si>
  <si>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</si>
  <si>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</si>
  <si>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</si>
  <si>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</si>
  <si>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</si>
  <si>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</si>
  <si>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</si>
  <si>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</si>
  <si>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</si>
  <si>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</si>
  <si>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</si>
  <si>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</si>
  <si>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</si>
  <si>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</si>
  <si>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</si>
  <si>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</si>
  <si>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</si>
  <si>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</si>
  <si>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</si>
  <si>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</si>
  <si>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</si>
  <si>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</si>
  <si>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</si>
  <si>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</si>
  <si>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</si>
  <si>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</si>
  <si>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</si>
  <si>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</si>
  <si>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</si>
  <si>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</si>
  <si>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</si>
  <si>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</si>
  <si>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</si>
  <si>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</si>
  <si>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</si>
  <si>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</si>
  <si>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</si>
  <si>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</si>
  <si>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</si>
  <si>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</si>
  <si>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</si>
  <si>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</si>
  <si>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</si>
  <si>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</si>
  <si>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</si>
  <si>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</si>
  <si>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</si>
  <si>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</si>
  <si>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</si>
  <si>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</si>
  <si>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</si>
  <si>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</si>
  <si>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</si>
  <si>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</si>
  <si>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</si>
  <si>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</si>
  <si>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</si>
  <si>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</si>
  <si>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</si>
  <si>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</si>
  <si>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</si>
  <si>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</si>
  <si>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</si>
  <si>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</si>
  <si>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</si>
  <si>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</si>
  <si>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</si>
  <si>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</si>
  <si>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</si>
  <si>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</si>
  <si>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</si>
  <si>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</si>
  <si>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</si>
  <si>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</si>
  <si>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</si>
  <si>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</si>
  <si>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</si>
  <si>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</si>
  <si>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</si>
  <si>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</si>
  <si>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</si>
  <si>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</si>
  <si>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</si>
  <si>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</si>
  <si>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</si>
  <si>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</si>
  <si>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</si>
  <si>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</si>
  <si>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</si>
  <si>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</si>
  <si>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</si>
  <si>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</si>
  <si>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</si>
  <si>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</si>
  <si>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</si>
  <si>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</si>
  <si>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</si>
  <si>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</si>
  <si>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</si>
  <si>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</si>
  <si>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</si>
  <si>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</si>
  <si>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</si>
  <si>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</si>
  <si>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</si>
  <si>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</si>
  <si>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</si>
  <si>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</si>
  <si>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</si>
  <si>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</si>
  <si>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</si>
  <si>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</si>
  <si>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</si>
  <si>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</si>
  <si>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</si>
  <si>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</si>
  <si>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</si>
  <si>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</si>
  <si>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</si>
  <si>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</si>
  <si>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</si>
  <si>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</si>
  <si>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</si>
  <si>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</si>
  <si>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</si>
  <si>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</si>
  <si>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</si>
  <si>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</si>
  <si>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</si>
  <si>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</si>
  <si>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</si>
  <si>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</si>
  <si>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</si>
  <si>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</si>
  <si>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</si>
  <si>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</si>
  <si>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</si>
  <si>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</si>
  <si>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</si>
  <si>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</si>
  <si>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</si>
  <si>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</si>
  <si>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</si>
  <si>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</si>
  <si>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</si>
  <si>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</si>
  <si>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</si>
  <si>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</si>
  <si>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</si>
  <si>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</si>
  <si>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</si>
  <si>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</si>
  <si>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</si>
  <si>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</si>
  <si>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</si>
  <si>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</si>
  <si>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</si>
  <si>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</si>
  <si>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</si>
  <si>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</si>
  <si>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</si>
  <si>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</si>
  <si>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</si>
  <si>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</si>
  <si>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</si>
  <si>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</si>
  <si>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</si>
  <si>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</si>
  <si>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</si>
  <si>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</si>
  <si>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</si>
  <si>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</si>
  <si>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</si>
  <si>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</si>
  <si>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</si>
  <si>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</si>
  <si>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</si>
  <si>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</si>
  <si>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</si>
  <si>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</si>
  <si>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</si>
  <si>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</si>
  <si>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</si>
  <si>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</si>
  <si>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</si>
  <si>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</si>
  <si>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</si>
  <si>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</si>
  <si>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</si>
  <si>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</si>
  <si>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</si>
  <si>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</si>
  <si>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</si>
  <si>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</si>
  <si>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</si>
  <si>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</si>
  <si>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</si>
  <si>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</si>
  <si>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</si>
  <si>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</si>
  <si>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</si>
  <si>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</si>
  <si>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</si>
  <si>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</si>
  <si>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</si>
  <si>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</si>
  <si>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</si>
  <si>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</si>
  <si>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</si>
  <si>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</si>
  <si>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</si>
  <si>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</si>
  <si>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</si>
  <si>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</si>
  <si>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</si>
  <si>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</si>
  <si>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</si>
  <si>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</si>
  <si>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</si>
  <si>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</si>
  <si>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</si>
  <si>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</si>
  <si>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</si>
  <si>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</si>
  <si>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</si>
  <si>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</si>
  <si>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</si>
  <si>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</si>
  <si>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</si>
  <si>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</si>
  <si>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</si>
  <si>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</si>
  <si>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</si>
  <si>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</si>
  <si>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</si>
  <si>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</si>
  <si>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</si>
  <si>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</si>
  <si>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</si>
  <si>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</si>
  <si>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</si>
  <si>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</si>
  <si>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</si>
  <si>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</si>
  <si>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</si>
  <si>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</si>
  <si>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</si>
  <si>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</si>
  <si>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</si>
  <si>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</si>
  <si>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</si>
  <si>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</si>
  <si>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</si>
  <si>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</si>
  <si>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</si>
  <si>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</si>
  <si>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</si>
  <si>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</si>
  <si>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</si>
  <si>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</si>
  <si>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</si>
  <si>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</si>
  <si>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</si>
  <si>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</si>
  <si>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</si>
  <si>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</si>
  <si>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</si>
  <si>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</si>
  <si>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</si>
  <si>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</si>
  <si>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</si>
  <si>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</si>
  <si>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</si>
  <si>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</si>
  <si>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</si>
  <si>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</si>
  <si>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</si>
  <si>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</si>
  <si>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</si>
  <si>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</si>
  <si>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</si>
  <si>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</si>
  <si>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</si>
  <si>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</si>
  <si>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</si>
  <si>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</si>
  <si>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</si>
  <si>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</si>
  <si>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</si>
  <si>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</si>
  <si>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</si>
  <si>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</si>
  <si>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</si>
  <si>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</si>
  <si>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</si>
  <si>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</si>
  <si>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</si>
  <si>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</si>
  <si>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</si>
  <si>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</si>
  <si>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</si>
  <si>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</si>
  <si>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</si>
  <si>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</si>
  <si>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</si>
  <si>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</si>
  <si>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</si>
  <si>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</si>
  <si>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</si>
  <si>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</si>
  <si>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</si>
  <si>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</si>
  <si>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</si>
  <si>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</si>
  <si>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</si>
  <si>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</si>
  <si>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</si>
  <si>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</si>
  <si>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</si>
  <si>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</si>
  <si>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</si>
  <si>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</si>
  <si>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</si>
  <si>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</si>
  <si>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</si>
  <si>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</si>
  <si>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</si>
  <si>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</si>
  <si>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</si>
  <si>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</si>
  <si>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</si>
  <si>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</si>
  <si>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</si>
  <si>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</si>
  <si>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</si>
  <si>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</si>
  <si>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</si>
  <si>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</si>
  <si>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</si>
  <si>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</si>
  <si>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</si>
  <si>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</si>
  <si>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</si>
  <si>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</si>
  <si>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</si>
  <si>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</si>
  <si>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</si>
  <si>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</si>
  <si>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</si>
  <si>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</si>
  <si>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</si>
  <si>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</si>
  <si>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</si>
  <si>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</si>
  <si>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</si>
  <si>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</si>
  <si>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</si>
  <si>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</si>
  <si>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</si>
  <si>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</si>
  <si>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</si>
  <si>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</si>
  <si>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</si>
  <si>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</si>
  <si>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</si>
  <si>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</si>
  <si>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</si>
  <si>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</si>
  <si>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</si>
  <si>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</si>
  <si>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</si>
  <si>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</si>
  <si>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</si>
  <si>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</si>
  <si>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</si>
  <si>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</si>
  <si>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</si>
  <si>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</si>
  <si>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</si>
  <si>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</si>
  <si>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</si>
  <si>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</si>
  <si>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</si>
  <si>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</si>
  <si>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</si>
  <si>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</si>
  <si>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</si>
  <si>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</si>
  <si>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</si>
  <si>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</si>
  <si>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</si>
  <si>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</si>
  <si>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</si>
  <si>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</si>
  <si>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</si>
  <si>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</si>
  <si>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</si>
  <si>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</si>
  <si>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</si>
  <si>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</si>
  <si>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</si>
  <si>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</si>
  <si>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</si>
  <si>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</si>
  <si>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</si>
  <si>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</si>
  <si>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</si>
  <si>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</si>
  <si>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</si>
  <si>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</si>
  <si>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</si>
  <si>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</si>
  <si>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</si>
  <si>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</si>
  <si>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</si>
  <si>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</si>
  <si>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</si>
  <si>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</si>
  <si>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</si>
  <si>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</si>
  <si>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</si>
  <si>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</si>
  <si>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</si>
  <si>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</si>
  <si>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</si>
  <si>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</si>
  <si>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</si>
  <si>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</si>
  <si>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</si>
  <si>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</si>
  <si>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</si>
  <si>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</si>
  <si>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</si>
  <si>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</si>
  <si>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</si>
  <si>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</si>
  <si>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</si>
  <si>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</si>
  <si>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</si>
  <si>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</si>
  <si>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</si>
  <si>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</si>
  <si>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</si>
  <si>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</si>
  <si>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</si>
  <si>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</si>
  <si>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</si>
  <si>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</si>
  <si>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</si>
  <si>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</si>
  <si>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</si>
  <si>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</si>
  <si>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</si>
  <si>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</si>
  <si>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</si>
  <si>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</si>
  <si>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</si>
  <si>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</si>
  <si>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</si>
  <si>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</si>
  <si>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</si>
  <si>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</si>
  <si>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</si>
  <si>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</si>
  <si>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</si>
  <si>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</si>
  <si>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</si>
  <si>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</si>
  <si>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</si>
  <si>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</si>
  <si>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</si>
  <si>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</si>
  <si>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</si>
  <si>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</si>
  <si>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</si>
  <si>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</si>
  <si>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</si>
  <si>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</si>
  <si>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</si>
  <si>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</si>
  <si>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</si>
  <si>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</si>
  <si>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</si>
  <si>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</si>
  <si>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</si>
  <si>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</si>
  <si>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</si>
  <si>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</si>
  <si>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</si>
  <si>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</si>
  <si>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</si>
  <si>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</si>
  <si>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</si>
  <si>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</si>
  <si>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</si>
  <si>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</si>
  <si>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</si>
  <si>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</si>
  <si>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</si>
  <si>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</si>
  <si>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</si>
  <si>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</si>
  <si>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</si>
  <si>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</si>
  <si>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</si>
  <si>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</si>
  <si>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</si>
  <si>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</si>
  <si>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</si>
  <si>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</si>
  <si>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</si>
  <si>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</si>
  <si>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</si>
  <si>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</si>
  <si>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</si>
  <si>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</si>
  <si>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</si>
  <si>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</si>
  <si>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</si>
  <si>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</si>
  <si>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</si>
  <si>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</si>
  <si>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</si>
  <si>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</si>
  <si>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</si>
  <si>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</si>
  <si>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</si>
  <si>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</si>
  <si>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</si>
  <si>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</si>
  <si>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</si>
  <si>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</si>
  <si>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</si>
  <si>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</si>
  <si>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</si>
  <si>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</si>
  <si>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</si>
  <si>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</si>
  <si>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</si>
  <si>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</si>
  <si>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</si>
  <si>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</si>
  <si>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</si>
  <si>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</si>
  <si>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</si>
  <si>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</si>
  <si>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</si>
  <si>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</si>
  <si>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</si>
  <si>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</si>
  <si>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</si>
  <si>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</si>
  <si>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</si>
  <si>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</si>
  <si>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</si>
  <si>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</si>
  <si>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</si>
  <si>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</si>
  <si>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</si>
  <si>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</si>
  <si>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</si>
  <si>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</si>
  <si>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</si>
  <si>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</si>
  <si>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</si>
  <si>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</si>
  <si>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</si>
  <si>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</si>
  <si>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</si>
  <si>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</si>
  <si>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</si>
  <si>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</si>
  <si>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</si>
  <si>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</si>
  <si>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</si>
  <si>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</si>
  <si>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</si>
  <si>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</si>
  <si>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</si>
  <si>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</si>
  <si>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</si>
  <si>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</si>
  <si>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</si>
  <si>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</si>
  <si>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</si>
  <si>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</si>
  <si>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</si>
  <si>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</si>
  <si>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</si>
  <si>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</si>
  <si>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</si>
  <si>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</si>
  <si>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</si>
  <si>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</si>
  <si>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</si>
  <si>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</si>
  <si>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</si>
  <si>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</si>
  <si>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</si>
  <si>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</si>
  <si>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</si>
  <si>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</si>
  <si>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</si>
  <si>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</si>
  <si>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</si>
  <si>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</si>
  <si>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</si>
  <si>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</si>
  <si>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</si>
  <si>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</si>
  <si>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</si>
  <si>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</si>
  <si>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</si>
  <si>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</si>
  <si>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</si>
  <si>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</si>
  <si>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</si>
  <si>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</si>
  <si>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</si>
  <si>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</si>
  <si>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</si>
  <si>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</si>
  <si>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</si>
  <si>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</si>
  <si>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</si>
  <si>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</si>
  <si>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</si>
  <si>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</si>
  <si>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</si>
  <si>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</si>
  <si>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</si>
  <si>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</si>
  <si>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</si>
  <si>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</si>
  <si>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</si>
  <si>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</si>
  <si>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</si>
  <si>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</si>
  <si>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</si>
  <si>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</si>
  <si>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</si>
  <si>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</si>
  <si>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</si>
  <si>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</si>
  <si>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</si>
  <si>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</si>
  <si>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</si>
  <si>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</si>
  <si>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</si>
  <si>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</si>
  <si>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</si>
  <si>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</si>
  <si>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</si>
  <si>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</si>
  <si>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</si>
  <si>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</si>
  <si>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</si>
  <si>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</si>
  <si>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</si>
  <si>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</si>
  <si>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</si>
  <si>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</si>
  <si>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</si>
  <si>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</si>
  <si>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</si>
  <si>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</si>
  <si>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</si>
  <si>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</si>
  <si>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</si>
  <si>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</si>
  <si>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</si>
  <si>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</si>
  <si>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</si>
  <si>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</si>
  <si>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</si>
  <si>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</si>
  <si>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</si>
  <si>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</si>
  <si>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</si>
  <si>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</si>
  <si>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</si>
  <si>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</si>
  <si>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</si>
  <si>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</si>
  <si>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</si>
  <si>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</si>
  <si>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</si>
  <si>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</si>
  <si>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</si>
  <si>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</si>
  <si>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</si>
  <si>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</si>
  <si>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</si>
  <si>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</si>
  <si>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</si>
  <si>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</si>
  <si>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</si>
  <si>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</si>
  <si>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</si>
  <si>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</si>
  <si>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</si>
  <si>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</si>
  <si>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</si>
  <si>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</si>
  <si>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</si>
  <si>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</si>
  <si>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</si>
  <si>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</si>
  <si>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</si>
  <si>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</si>
  <si>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</si>
  <si>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</si>
  <si>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</si>
  <si>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</si>
  <si>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</si>
  <si>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</si>
  <si>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</si>
  <si>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</si>
  <si>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</si>
  <si>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</si>
  <si>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</si>
  <si>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</si>
  <si>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</si>
  <si>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</si>
  <si>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</si>
  <si>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</si>
  <si>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</si>
  <si>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</si>
  <si>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</si>
  <si>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</si>
  <si>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</si>
  <si>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</si>
  <si>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</si>
  <si>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</si>
  <si>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</si>
  <si>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</si>
  <si>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</si>
  <si>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</si>
  <si>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</si>
  <si>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</si>
  <si>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</si>
  <si>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</si>
  <si>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</si>
  <si>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</si>
  <si>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</si>
  <si>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</si>
  <si>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</si>
  <si>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</si>
  <si>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</si>
  <si>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</si>
  <si>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</si>
  <si>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</si>
  <si>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</si>
  <si>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</si>
  <si>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</si>
  <si>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</si>
  <si>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</si>
  <si>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</si>
  <si>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</si>
  <si>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</si>
  <si>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</si>
  <si>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</si>
  <si>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</si>
  <si>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</si>
  <si>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</si>
  <si>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</si>
  <si>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</si>
  <si>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</si>
  <si>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</si>
  <si>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</si>
  <si>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</si>
  <si>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</si>
  <si>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</si>
  <si>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</si>
  <si>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</si>
  <si>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</si>
  <si>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</si>
  <si>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</si>
  <si>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</si>
  <si>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</si>
  <si>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</si>
  <si>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</si>
  <si>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</si>
  <si>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</si>
  <si>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</si>
  <si>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</si>
  <si>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</si>
  <si>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</si>
  <si>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</si>
  <si>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</si>
  <si>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</si>
  <si>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</si>
  <si>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</si>
  <si>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</si>
  <si>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</si>
  <si>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</si>
  <si>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</si>
  <si>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</si>
  <si>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</si>
  <si>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</si>
  <si>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</si>
  <si>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</si>
  <si>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</si>
  <si>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</si>
  <si>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</si>
  <si>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</si>
  <si>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</si>
  <si>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</si>
  <si>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</si>
  <si>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</si>
  <si>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</si>
  <si>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</si>
  <si>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</si>
  <si>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</si>
  <si>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</si>
  <si>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</si>
  <si>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</si>
  <si>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</si>
  <si>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</si>
  <si>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</si>
  <si>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</si>
  <si>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</si>
  <si>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</si>
  <si>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</si>
  <si>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</si>
  <si>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</si>
  <si>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</si>
  <si>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</si>
  <si>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</si>
  <si>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</si>
  <si>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</si>
  <si>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</si>
  <si>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</si>
  <si>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</si>
  <si>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</si>
  <si>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</si>
  <si>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</si>
  <si>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</si>
  <si>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</si>
  <si>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</si>
  <si>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</si>
  <si>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</si>
  <si>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</si>
  <si>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</si>
  <si>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</si>
  <si>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</si>
  <si>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</si>
  <si>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</si>
  <si>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</si>
  <si>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</si>
  <si>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</si>
  <si>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</si>
  <si>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</si>
  <si>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</si>
  <si>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</si>
  <si>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</si>
  <si>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</si>
  <si>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</si>
  <si>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</si>
  <si>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</si>
  <si>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</si>
  <si>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</si>
  <si>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</si>
  <si>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</si>
  <si>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</si>
  <si>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</si>
  <si>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</si>
  <si>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</si>
  <si>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</si>
  <si>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</si>
  <si>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</si>
  <si>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</si>
  <si>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</si>
  <si>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</si>
  <si>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</si>
  <si>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</si>
  <si>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</si>
  <si>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</si>
  <si>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</si>
  <si>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</si>
  <si>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</si>
  <si>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</si>
  <si>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</si>
  <si>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</si>
  <si>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</si>
  <si>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</si>
  <si>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</si>
  <si>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</si>
  <si>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</si>
  <si>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</si>
  <si>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</si>
  <si>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</si>
  <si>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</si>
  <si>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</si>
  <si>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</si>
  <si>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</si>
  <si>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</si>
  <si>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</si>
  <si>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</si>
  <si>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</si>
  <si>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</si>
  <si>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</si>
  <si>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</si>
  <si>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</si>
  <si>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</si>
  <si>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</si>
  <si>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</si>
  <si>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</si>
  <si>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</si>
  <si>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</si>
  <si>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</si>
  <si>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</si>
  <si>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</si>
  <si>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</si>
  <si>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</si>
  <si>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</si>
  <si>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</si>
  <si>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</si>
  <si>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</si>
  <si>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</si>
  <si>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</si>
  <si>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</si>
  <si>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</si>
  <si>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</si>
  <si>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</si>
  <si>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</si>
  <si>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</si>
  <si>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</si>
  <si>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</si>
  <si>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</si>
  <si>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</si>
  <si>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</si>
  <si>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</si>
  <si>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</si>
  <si>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</si>
  <si>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</si>
  <si>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</si>
  <si>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</si>
  <si>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</si>
  <si>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</si>
  <si>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</si>
  <si>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</si>
  <si>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</si>
  <si>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</si>
  <si>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</si>
  <si>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</si>
  <si>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</si>
  <si>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</si>
  <si>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</si>
  <si>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</si>
  <si>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</si>
  <si>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</si>
  <si>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</si>
  <si>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</si>
  <si>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</si>
  <si>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</si>
  <si>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</si>
  <si>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</si>
  <si>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</si>
  <si>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</si>
  <si>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</si>
  <si>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</si>
  <si>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</si>
  <si>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</si>
  <si>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</si>
  <si>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</si>
  <si>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</si>
  <si>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</si>
  <si>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</si>
  <si>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</si>
  <si>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</si>
  <si>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</si>
  <si>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</si>
  <si>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</si>
  <si>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</si>
  <si>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</si>
  <si>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</si>
  <si>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</si>
  <si>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</si>
  <si>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</si>
  <si>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</si>
  <si>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</si>
  <si>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</si>
  <si>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</si>
  <si>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</si>
  <si>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</si>
  <si>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</si>
  <si>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</si>
  <si>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</si>
  <si>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</si>
  <si>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</si>
  <si>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</si>
  <si>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</si>
  <si>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</si>
  <si>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</si>
  <si>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</si>
  <si>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</si>
  <si>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</si>
  <si>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</si>
  <si>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</si>
  <si>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</si>
  <si>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</si>
  <si>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</si>
  <si>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</si>
  <si>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</si>
  <si>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</si>
  <si>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</si>
  <si>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</si>
  <si>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</si>
  <si>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</si>
  <si>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</si>
  <si>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</si>
  <si>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</si>
  <si>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</si>
  <si>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</si>
  <si>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</si>
  <si>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</si>
  <si>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</si>
  <si>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</si>
  <si>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</si>
  <si>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</si>
  <si>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</si>
  <si>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</si>
  <si>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</si>
  <si>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</si>
  <si>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</si>
  <si>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</si>
  <si>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</si>
  <si>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</si>
  <si>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</si>
  <si>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</si>
  <si>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</si>
  <si>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</si>
  <si>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</si>
  <si>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</si>
  <si>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</si>
  <si>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</si>
  <si>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</si>
  <si>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</si>
  <si>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</si>
  <si>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</si>
  <si>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</si>
  <si>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</si>
  <si>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</si>
  <si>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</si>
  <si>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</si>
  <si>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</si>
  <si>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</si>
  <si>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</si>
  <si>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</si>
  <si>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</si>
  <si>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</si>
  <si>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</si>
  <si>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</si>
  <si>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</si>
  <si>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</si>
  <si>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</si>
  <si>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</si>
  <si>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</si>
  <si>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</si>
  <si>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</si>
  <si>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</si>
  <si>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</si>
  <si>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</si>
  <si>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</si>
  <si>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</si>
  <si>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</si>
  <si>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</si>
  <si>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</si>
  <si>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</si>
  <si>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</si>
  <si>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</si>
  <si>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</si>
  <si>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</si>
  <si>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</si>
  <si>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</si>
  <si>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</si>
  <si>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</si>
  <si>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</si>
  <si>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</si>
  <si>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</si>
  <si>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</si>
  <si>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</si>
  <si>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</si>
  <si>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</si>
  <si>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</si>
  <si>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</si>
  <si>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</si>
  <si>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</si>
  <si>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</si>
  <si>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</si>
  <si>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</si>
  <si>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</si>
  <si>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</si>
  <si>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</si>
  <si>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</si>
  <si>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</si>
  <si>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</si>
  <si>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</si>
  <si>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</si>
  <si>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</si>
  <si>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</si>
  <si>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</si>
  <si>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</si>
  <si>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</si>
  <si>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</si>
  <si>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</si>
  <si>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</si>
  <si>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</si>
  <si>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</si>
  <si>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</si>
  <si>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</si>
  <si>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</si>
  <si>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</si>
  <si>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</si>
  <si>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</si>
  <si>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</si>
  <si>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</si>
  <si>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</si>
  <si>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</si>
  <si>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</si>
  <si>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</si>
  <si>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</si>
  <si>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</si>
  <si>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</si>
  <si>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</si>
  <si>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</si>
  <si>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</si>
  <si>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</si>
  <si>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</si>
  <si>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</si>
  <si>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</si>
  <si>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</si>
  <si>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</si>
  <si>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</si>
  <si>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</si>
  <si>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</si>
  <si>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</si>
  <si>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</si>
  <si>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</si>
  <si>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</si>
  <si>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</si>
  <si>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</si>
  <si>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</si>
  <si>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</si>
  <si>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</si>
  <si>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</si>
  <si>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</si>
  <si>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</si>
  <si>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</si>
  <si>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</si>
  <si>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</si>
  <si>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</si>
  <si>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</si>
  <si>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</si>
  <si>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</si>
  <si>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</si>
  <si>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</si>
  <si>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</si>
  <si>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</si>
  <si>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</si>
  <si>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</si>
  <si>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</si>
  <si>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</si>
  <si>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</si>
  <si>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</si>
  <si>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</si>
  <si>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</si>
  <si>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</si>
  <si>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</si>
  <si>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</si>
  <si>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</si>
  <si>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</si>
  <si>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</si>
  <si>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</si>
  <si>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</si>
  <si>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</si>
  <si>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</si>
  <si>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</si>
  <si>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</si>
  <si>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</si>
  <si>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</si>
  <si>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</si>
  <si>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</si>
  <si>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</si>
  <si>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</si>
  <si>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</si>
  <si>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</si>
  <si>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</si>
  <si>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</si>
  <si>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</si>
  <si>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</si>
  <si>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</si>
  <si>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</si>
  <si>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</si>
  <si>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</si>
  <si>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</si>
  <si>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</si>
  <si>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</si>
  <si>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</si>
  <si>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</si>
  <si>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</si>
  <si>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</si>
  <si>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</si>
  <si>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</si>
  <si>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</si>
  <si>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</si>
  <si>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</si>
  <si>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</si>
  <si>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</si>
  <si>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</si>
  <si>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</si>
  <si>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</si>
  <si>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</si>
  <si>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</si>
  <si>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</si>
  <si>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</si>
  <si>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</si>
  <si>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</si>
  <si>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</si>
  <si>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</si>
  <si>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</si>
  <si>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</si>
  <si>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</si>
  <si>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</si>
  <si>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</si>
  <si>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</si>
  <si>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</si>
  <si>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</si>
  <si>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</si>
  <si>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</si>
  <si>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</si>
  <si>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</si>
  <si>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</si>
  <si>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</si>
  <si>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</si>
  <si>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</si>
  <si>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</si>
  <si>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</si>
  <si>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</si>
  <si>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</si>
  <si>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</si>
  <si>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</si>
  <si>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</si>
  <si>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</si>
  <si>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</si>
  <si>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</si>
  <si>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</si>
  <si>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</si>
  <si>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</si>
  <si>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</si>
  <si>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</si>
  <si>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</si>
  <si>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</si>
  <si>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</si>
  <si>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</si>
  <si>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</si>
  <si>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</si>
  <si>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</si>
  <si>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</si>
  <si>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</si>
  <si>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</si>
  <si>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</si>
  <si>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</si>
  <si>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</si>
  <si>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</si>
  <si>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</si>
  <si>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</si>
  <si>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</si>
  <si>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</si>
  <si>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</si>
  <si>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</si>
  <si>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</si>
  <si>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</si>
  <si>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</si>
  <si>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</si>
  <si>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</si>
  <si>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</si>
  <si>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</si>
  <si>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</si>
  <si>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</si>
  <si>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</si>
  <si>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</si>
  <si>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</si>
  <si>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</si>
  <si>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</si>
  <si>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</si>
  <si>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</si>
  <si>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</si>
  <si>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</si>
  <si>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</si>
  <si>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</si>
  <si>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</si>
  <si>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</si>
  <si>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</si>
  <si>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</si>
  <si>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</si>
  <si>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</si>
  <si>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</si>
  <si>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</si>
  <si>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</si>
  <si>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</si>
  <si>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</si>
  <si>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</si>
  <si>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</si>
  <si>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</si>
  <si>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</si>
  <si>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</si>
  <si>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</si>
  <si>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</si>
  <si>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</si>
  <si>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</si>
  <si>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</si>
  <si>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</si>
  <si>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</si>
  <si>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</si>
  <si>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</si>
  <si>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</si>
  <si>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</si>
  <si>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</si>
  <si>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</si>
  <si>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</si>
  <si>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</si>
  <si>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</si>
  <si>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</si>
  <si>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</si>
  <si>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</si>
  <si>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</si>
  <si>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</si>
  <si>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</si>
  <si>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</si>
  <si>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</si>
  <si>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</si>
  <si>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</si>
  <si>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</si>
  <si>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</si>
  <si>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</si>
  <si>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</si>
  <si>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</si>
  <si>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</si>
  <si>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</si>
  <si>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</si>
  <si>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</si>
  <si>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</si>
  <si>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</si>
  <si>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</si>
  <si>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</si>
  <si>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</si>
  <si>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</si>
  <si>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</si>
  <si>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</si>
  <si>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</si>
  <si>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</si>
  <si>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</si>
  <si>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</si>
  <si>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</si>
  <si>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</si>
  <si>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</si>
  <si>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</si>
  <si>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</si>
  <si>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</si>
  <si>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</si>
  <si>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</si>
  <si>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</si>
  <si>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</si>
  <si>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</si>
  <si>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</si>
  <si>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</si>
  <si>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</si>
  <si>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</si>
  <si>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</si>
  <si>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</si>
  <si>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</si>
  <si>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</si>
  <si>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</si>
  <si>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</si>
  <si>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</si>
  <si>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</si>
  <si>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</si>
  <si>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</si>
  <si>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</si>
  <si>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</si>
  <si>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</si>
  <si>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</si>
  <si>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</si>
  <si>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</si>
  <si>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</si>
  <si>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</si>
  <si>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</si>
  <si>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</si>
  <si>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</si>
  <si>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</si>
  <si>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</si>
  <si>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</si>
  <si>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</si>
  <si>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</si>
  <si>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</si>
  <si>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</si>
  <si>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</si>
  <si>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</si>
  <si>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</si>
  <si>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</si>
  <si>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</si>
  <si>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</si>
  <si>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</si>
  <si>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</si>
  <si>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</si>
  <si>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</si>
  <si>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</si>
  <si>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</si>
  <si>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</si>
  <si>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</si>
  <si>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</si>
  <si>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</si>
  <si>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</si>
  <si>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</si>
  <si>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</si>
  <si>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</si>
  <si>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</si>
  <si>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</si>
  <si>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</si>
  <si>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</si>
  <si>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</si>
  <si>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</si>
  <si>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</si>
  <si>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</si>
  <si>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</si>
  <si>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</si>
  <si>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</si>
  <si>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</si>
  <si>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</si>
  <si>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</si>
  <si>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</si>
  <si>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</si>
  <si>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</si>
  <si>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</si>
  <si>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</si>
  <si>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</si>
  <si>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</si>
  <si>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</si>
  <si>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</si>
  <si>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</si>
  <si>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</si>
  <si>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</si>
  <si>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</si>
  <si>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</si>
  <si>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</si>
  <si>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</si>
  <si>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</si>
  <si>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</si>
  <si>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</si>
  <si>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</si>
  <si>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</si>
  <si>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</si>
  <si>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</si>
  <si>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</si>
  <si>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</si>
  <si>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</si>
  <si>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</si>
  <si>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</si>
  <si>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</si>
  <si>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</si>
  <si>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</si>
  <si>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</si>
  <si>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</si>
  <si>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</si>
  <si>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</si>
  <si>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</si>
  <si>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</si>
  <si>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</si>
  <si>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</si>
  <si>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</si>
  <si>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</si>
  <si>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</si>
  <si>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</si>
  <si>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</si>
  <si>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</si>
  <si>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</si>
  <si>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</si>
  <si>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</si>
  <si>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</si>
  <si>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</si>
  <si>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</si>
  <si>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</si>
  <si>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</si>
  <si>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</si>
  <si>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</si>
  <si>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</si>
  <si>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</si>
  <si>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</si>
  <si>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</si>
  <si>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</si>
  <si>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</si>
  <si>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</si>
  <si>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</si>
  <si>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</si>
  <si>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</si>
  <si>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</si>
  <si>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</si>
  <si>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</si>
  <si>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</si>
  <si>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</si>
  <si>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</si>
  <si>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</si>
  <si>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</si>
  <si>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</si>
  <si>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</si>
  <si>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</si>
  <si>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</si>
  <si>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</si>
  <si>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</si>
  <si>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</si>
  <si>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</si>
  <si>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</si>
  <si>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</si>
  <si>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</si>
  <si>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</si>
  <si>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</si>
  <si>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</si>
  <si>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</si>
  <si>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</si>
  <si>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</si>
  <si>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</si>
  <si>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</si>
  <si>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</si>
  <si>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</si>
  <si>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</si>
  <si>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</si>
  <si>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</si>
  <si>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</si>
  <si>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</si>
  <si>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</si>
  <si>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</si>
  <si>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</si>
  <si>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</si>
  <si>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</si>
  <si>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</si>
  <si>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</si>
  <si>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</si>
  <si>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</si>
  <si>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</si>
  <si>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</si>
  <si>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</si>
  <si>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</si>
  <si>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</si>
  <si>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</si>
  <si>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</si>
  <si>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</si>
  <si>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</si>
  <si>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</si>
  <si>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</si>
  <si>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</si>
  <si>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</si>
  <si>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</si>
  <si>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</si>
  <si>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</si>
  <si>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</si>
  <si>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</si>
  <si>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</si>
  <si>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</si>
  <si>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</si>
  <si>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</si>
  <si>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</si>
  <si>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</si>
  <si>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</si>
  <si>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</si>
  <si>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</si>
  <si>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</si>
  <si>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</si>
  <si>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</si>
  <si>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</si>
  <si>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</si>
  <si>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</si>
  <si>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</si>
  <si>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</si>
  <si>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</si>
  <si>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</si>
  <si>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</si>
  <si>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</si>
  <si>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</si>
  <si>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</si>
  <si>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</si>
  <si>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</si>
  <si>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</si>
  <si>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</si>
  <si>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</si>
  <si>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</si>
  <si>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</si>
  <si>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</si>
  <si>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</si>
  <si>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</si>
  <si>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</si>
  <si>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</si>
  <si>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</si>
  <si>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</si>
  <si>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</si>
  <si>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</si>
  <si>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</si>
  <si>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</si>
  <si>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</si>
  <si>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</si>
  <si>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</si>
  <si>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</si>
  <si>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</si>
  <si>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</si>
  <si>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</si>
  <si>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</si>
  <si>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</si>
  <si>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</si>
  <si>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</si>
  <si>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</si>
  <si>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</si>
  <si>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</si>
  <si>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</si>
  <si>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</si>
  <si>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</si>
  <si>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</si>
  <si>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</si>
  <si>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</si>
  <si>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</si>
  <si>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</si>
  <si>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</si>
  <si>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</si>
  <si>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</si>
  <si>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</si>
  <si>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</si>
  <si>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</si>
  <si>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</si>
  <si>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</si>
  <si>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</si>
  <si>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</si>
  <si>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</si>
  <si>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</si>
  <si>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</si>
  <si>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</si>
  <si>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</si>
  <si>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</si>
  <si>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</si>
  <si>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</si>
  <si>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</si>
  <si>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</si>
  <si>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</si>
  <si>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</si>
  <si>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</si>
  <si>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</si>
  <si>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</si>
  <si>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</si>
  <si>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</si>
  <si>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</si>
  <si>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</si>
  <si>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</si>
  <si>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</si>
  <si>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</si>
  <si>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</si>
  <si>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</si>
  <si>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</si>
  <si>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</si>
  <si>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</si>
  <si>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</si>
  <si>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</si>
  <si>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</si>
  <si>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</si>
  <si>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</si>
  <si>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</si>
  <si>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</si>
  <si>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</si>
  <si>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</si>
  <si>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</si>
  <si>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</si>
  <si>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</si>
  <si>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</si>
  <si>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</si>
  <si>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</si>
  <si>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</si>
  <si>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</si>
  <si>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</si>
  <si>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</si>
  <si>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</si>
  <si>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</si>
  <si>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</si>
  <si>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</si>
  <si>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</si>
  <si>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</si>
  <si>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</si>
  <si>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</si>
  <si>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</si>
  <si>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</si>
  <si>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</si>
  <si>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</si>
  <si>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</si>
  <si>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</si>
  <si>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</si>
  <si>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</si>
  <si>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</si>
  <si>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</si>
  <si>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</si>
  <si>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</si>
  <si>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</si>
  <si>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</si>
  <si>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</si>
  <si>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</si>
  <si>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</si>
  <si>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</si>
  <si>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</si>
  <si>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</si>
  <si>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</si>
  <si>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</si>
  <si>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</si>
  <si>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</si>
  <si>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</si>
  <si>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</si>
  <si>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</si>
  <si>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</si>
  <si>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</si>
  <si>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</si>
  <si>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</si>
  <si>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</si>
  <si>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</si>
  <si>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</si>
  <si>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</si>
  <si>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</si>
  <si>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</si>
  <si>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</si>
  <si>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</si>
  <si>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</si>
  <si>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</si>
  <si>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</si>
  <si>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</si>
  <si>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</si>
  <si>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</si>
  <si>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</si>
  <si>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</si>
  <si>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</si>
  <si>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</si>
  <si>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</si>
  <si>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</si>
  <si>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</si>
  <si>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</si>
  <si>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</si>
  <si>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</si>
  <si>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</si>
  <si>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</si>
  <si>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</si>
  <si>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</si>
  <si>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</si>
  <si>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</si>
  <si>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</si>
  <si>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</si>
  <si>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</si>
  <si>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</si>
  <si>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</si>
  <si>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</si>
  <si>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</si>
  <si>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</si>
  <si>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</si>
  <si>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</si>
  <si>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</si>
  <si>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</si>
  <si>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</si>
  <si>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</si>
  <si>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</si>
  <si>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</si>
  <si>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</si>
  <si>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</si>
  <si>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</si>
  <si>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</si>
  <si>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</si>
  <si>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</si>
  <si>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</si>
  <si>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</si>
  <si>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</si>
  <si>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</si>
  <si>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</si>
  <si>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</si>
  <si>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</si>
  <si>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</si>
  <si>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</si>
  <si>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</si>
  <si>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</si>
  <si>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</si>
  <si>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</si>
  <si>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</si>
  <si>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</si>
  <si>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</si>
  <si>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</si>
  <si>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</si>
  <si>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</si>
  <si>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</si>
  <si>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</si>
  <si>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</si>
  <si>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</si>
  <si>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</si>
  <si>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</si>
  <si>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</si>
  <si>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</si>
  <si>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</si>
  <si>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</si>
  <si>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</si>
  <si>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</si>
  <si>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</si>
  <si>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</si>
  <si>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</si>
  <si>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</si>
  <si>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</si>
  <si>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</si>
  <si>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</si>
  <si>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</si>
  <si>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</si>
  <si>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</si>
  <si>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</si>
  <si>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</si>
  <si>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</si>
  <si>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</si>
  <si>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</si>
  <si>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</si>
  <si>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</si>
  <si>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</si>
  <si>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</si>
  <si>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</si>
  <si>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</si>
  <si>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</si>
  <si>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</si>
  <si>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</si>
  <si>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</si>
  <si>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</si>
  <si>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</si>
  <si>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</si>
  <si>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</si>
  <si>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</si>
  <si>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</si>
  <si>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</si>
  <si>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</si>
  <si>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</si>
  <si>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</si>
  <si>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</si>
  <si>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</si>
  <si>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</si>
  <si>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</si>
  <si>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</si>
  <si>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</si>
  <si>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</si>
  <si>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</si>
  <si>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</si>
  <si>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</si>
  <si>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</si>
  <si>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</si>
  <si>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</si>
  <si>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</si>
  <si>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</si>
  <si>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</si>
  <si>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</si>
  <si>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</si>
  <si>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</si>
  <si>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</si>
  <si>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</si>
  <si>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</si>
  <si>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</si>
  <si>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</si>
  <si>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</si>
  <si>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</si>
  <si>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</si>
  <si>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</si>
  <si>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</si>
  <si>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</si>
  <si>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</si>
  <si>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</si>
  <si>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</si>
  <si>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</si>
  <si>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</si>
  <si>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</si>
  <si>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</si>
  <si>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</si>
  <si>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</si>
  <si>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</si>
  <si>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</si>
  <si>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</si>
  <si>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</si>
  <si>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</si>
  <si>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</si>
  <si>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</si>
  <si>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</si>
  <si>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</si>
  <si>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</si>
  <si>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</si>
  <si>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</si>
  <si>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</si>
  <si>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</si>
  <si>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</si>
  <si>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</si>
  <si>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</si>
  <si>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</si>
  <si>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</si>
  <si>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</si>
  <si>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</si>
  <si>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</si>
  <si>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</si>
  <si>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</si>
  <si>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</si>
  <si>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</si>
  <si>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</si>
  <si>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</si>
  <si>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</si>
  <si>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</si>
  <si>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</si>
  <si>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</si>
  <si>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</si>
  <si>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</si>
  <si>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</si>
  <si>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</si>
  <si>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</si>
  <si>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</si>
  <si>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</si>
  <si>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</si>
  <si>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</si>
  <si>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</si>
  <si>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</si>
  <si>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</si>
  <si>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</si>
  <si>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</si>
  <si>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</si>
  <si>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</si>
  <si>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</si>
  <si>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</si>
  <si>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</si>
  <si>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</si>
  <si>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</si>
  <si>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</si>
  <si>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</si>
  <si>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</si>
  <si>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</si>
  <si>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</si>
  <si>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</si>
  <si>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</si>
  <si>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</si>
  <si>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</si>
  <si>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</si>
  <si>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</si>
  <si>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</si>
  <si>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</si>
  <si>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</si>
  <si>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</si>
  <si>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</si>
  <si>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</si>
  <si>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</si>
  <si>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</si>
  <si>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</si>
  <si>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</si>
  <si>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</si>
  <si>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</si>
  <si>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</si>
  <si>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</si>
  <si>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</si>
  <si>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</si>
  <si>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</si>
  <si>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</si>
  <si>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</si>
  <si>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</si>
  <si>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</si>
  <si>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</si>
  <si>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</si>
  <si>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</si>
  <si>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</si>
  <si>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</si>
  <si>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</si>
  <si>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</si>
  <si>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</si>
  <si>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</si>
  <si>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</si>
  <si>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</si>
  <si>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</si>
  <si>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</si>
  <si>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</si>
  <si>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</si>
  <si>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</si>
  <si>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</si>
  <si>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</si>
  <si>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</si>
  <si>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</si>
  <si>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</si>
  <si>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</si>
  <si>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</si>
  <si>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</si>
  <si>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</si>
  <si>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</si>
  <si>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</si>
  <si>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</si>
  <si>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</si>
  <si>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</si>
  <si>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</si>
  <si>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</si>
  <si>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</si>
  <si>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</si>
  <si>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</si>
  <si>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</si>
  <si>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</si>
  <si>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</si>
  <si>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</si>
  <si>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</si>
  <si>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</si>
  <si>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</si>
  <si>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</si>
  <si>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</si>
  <si>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</si>
  <si>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</si>
  <si>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</si>
  <si>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</si>
  <si>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</si>
  <si>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</si>
  <si>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</si>
  <si>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</si>
  <si>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</si>
  <si>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</si>
  <si>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</si>
  <si>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</si>
  <si>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</si>
  <si>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</si>
  <si>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</si>
  <si>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</si>
  <si>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</si>
  <si>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</si>
  <si>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</si>
  <si>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</si>
  <si>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</si>
  <si>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</si>
  <si>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</si>
  <si>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</si>
  <si>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</si>
  <si>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</si>
  <si>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</si>
  <si>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</si>
  <si>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</si>
  <si>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</si>
  <si>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</si>
  <si>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</si>
  <si>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</si>
  <si>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</si>
  <si>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</si>
  <si>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</si>
  <si>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</si>
  <si>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</si>
  <si>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</si>
  <si>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</si>
  <si>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</si>
  <si>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</si>
  <si>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</si>
  <si>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</si>
  <si>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</si>
  <si>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</si>
  <si>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</si>
  <si>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</si>
  <si>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</si>
  <si>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</si>
  <si>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</si>
  <si>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</si>
  <si>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</si>
  <si>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</si>
  <si>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</si>
  <si>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</si>
  <si>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</si>
  <si>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</si>
  <si>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</si>
  <si>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</si>
  <si>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</si>
  <si>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</si>
  <si>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</si>
  <si>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</si>
  <si>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</si>
  <si>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</si>
  <si>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</si>
  <si>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</si>
  <si>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</si>
  <si>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</si>
  <si>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</si>
  <si>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</si>
  <si>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</si>
  <si>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</si>
  <si>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</si>
  <si>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</si>
  <si>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</si>
  <si>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</si>
  <si>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</si>
  <si>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</si>
  <si>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</si>
  <si>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</si>
  <si>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</si>
  <si>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</si>
  <si>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</si>
  <si>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</si>
  <si>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</si>
  <si>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</si>
  <si>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</si>
  <si>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</si>
  <si>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</si>
  <si>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</si>
  <si>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</si>
  <si>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</si>
  <si>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</si>
  <si>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</si>
  <si>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</si>
  <si>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</si>
  <si>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</si>
  <si>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</si>
  <si>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</si>
  <si>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</si>
  <si>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</si>
  <si>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</si>
  <si>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</si>
  <si>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</si>
  <si>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</si>
  <si>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</si>
  <si>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</si>
  <si>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</si>
  <si>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</si>
  <si>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</si>
  <si>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</si>
  <si>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</si>
  <si>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</si>
  <si>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</si>
  <si>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</si>
  <si>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</si>
  <si>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</si>
  <si>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</si>
  <si>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</si>
  <si>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</si>
  <si>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</si>
  <si>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</si>
  <si>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</si>
  <si>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</si>
  <si>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</si>
  <si>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</si>
  <si>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</si>
  <si>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</si>
  <si>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</si>
  <si>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</si>
  <si>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</si>
  <si>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</si>
  <si>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</si>
  <si>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</si>
  <si>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</si>
  <si>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</si>
  <si>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</si>
  <si>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</si>
  <si>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</si>
  <si>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</si>
  <si>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</si>
  <si>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</si>
  <si>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</si>
  <si>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</si>
  <si>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</si>
  <si>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</si>
  <si>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</si>
  <si>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</si>
  <si>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</si>
  <si>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</si>
  <si>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</si>
  <si>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</si>
  <si>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</si>
  <si>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</si>
  <si>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</si>
  <si>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</si>
  <si>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</si>
  <si>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</si>
  <si>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</si>
  <si>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</si>
  <si>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</si>
  <si>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</si>
  <si>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</si>
  <si>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</si>
  <si>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</si>
  <si>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</si>
  <si>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</si>
  <si>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</si>
  <si>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</si>
  <si>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</si>
  <si>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</si>
  <si>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</si>
  <si>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</si>
  <si>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</si>
  <si>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</si>
  <si>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</si>
  <si>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</si>
  <si>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</si>
  <si>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</si>
  <si>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</si>
  <si>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</si>
  <si>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</si>
  <si>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</si>
  <si>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</si>
  <si>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</si>
  <si>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</si>
  <si>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</si>
  <si>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</si>
  <si>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</si>
  <si>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</si>
  <si>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</si>
  <si>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</si>
  <si>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</si>
  <si>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</si>
  <si>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</si>
  <si>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</si>
  <si>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</si>
  <si>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</si>
  <si>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</si>
  <si>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</si>
  <si>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</si>
  <si>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</si>
  <si>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</si>
  <si>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</si>
  <si>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</si>
  <si>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</si>
  <si>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</si>
  <si>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</si>
  <si>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</si>
  <si>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</si>
  <si>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</si>
  <si>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</si>
  <si>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</si>
  <si>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</si>
  <si>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</si>
  <si>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</si>
  <si>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</si>
  <si>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</si>
  <si>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</si>
  <si>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</si>
  <si>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</si>
  <si>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</si>
  <si>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</si>
  <si>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</si>
  <si>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</si>
  <si>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</si>
  <si>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</si>
  <si>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</si>
  <si>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</si>
  <si>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</si>
  <si>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</si>
  <si>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</si>
  <si>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</si>
  <si>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</si>
  <si>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</si>
  <si>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</si>
  <si>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</si>
  <si>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</si>
  <si>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</si>
  <si>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</si>
  <si>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</si>
  <si>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</si>
  <si>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</si>
  <si>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</si>
  <si>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</si>
  <si>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</si>
  <si>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</si>
  <si>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</si>
  <si>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</si>
  <si>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</si>
  <si>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</si>
  <si>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</si>
  <si>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</si>
  <si>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</si>
  <si>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</si>
  <si>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</si>
  <si>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</si>
  <si>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</si>
  <si>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</si>
  <si>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</si>
  <si>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</si>
  <si>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</si>
  <si>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</si>
  <si>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</si>
  <si>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</si>
  <si>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</si>
  <si>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</si>
  <si>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</si>
  <si>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</si>
  <si>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</si>
  <si>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</si>
  <si>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</si>
  <si>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</si>
  <si>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</si>
  <si>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</si>
  <si>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</si>
  <si>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</si>
  <si>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</si>
  <si>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</si>
  <si>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</si>
  <si>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</si>
  <si>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</si>
  <si>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</si>
  <si>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</si>
  <si>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</si>
  <si>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</si>
  <si>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</si>
  <si>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</si>
  <si>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</si>
  <si>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</si>
  <si>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</si>
  <si>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</si>
  <si>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</si>
  <si>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</si>
  <si>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</si>
  <si>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</si>
  <si>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</si>
  <si>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</si>
  <si>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</si>
  <si>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</si>
  <si>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</si>
  <si>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</si>
  <si>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</si>
  <si>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</si>
  <si>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</si>
  <si>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</si>
  <si>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</si>
  <si>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</si>
  <si>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</si>
  <si>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</si>
  <si>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</si>
  <si>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</si>
  <si>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</si>
  <si>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</si>
  <si>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</si>
  <si>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</si>
  <si>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</si>
  <si>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</si>
  <si>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</si>
  <si>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</si>
  <si>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</si>
  <si>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</si>
  <si>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</si>
  <si>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</si>
  <si>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</si>
  <si>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</si>
  <si>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</si>
  <si>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</si>
  <si>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</si>
  <si>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</si>
  <si>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</si>
  <si>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</si>
  <si>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</si>
  <si>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</si>
  <si>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</si>
  <si>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</si>
  <si>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</si>
  <si>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</si>
  <si>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</si>
  <si>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</si>
  <si>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</si>
  <si>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</si>
  <si>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</si>
  <si>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</si>
  <si>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</si>
  <si>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</si>
  <si>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</si>
  <si>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</si>
  <si>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</si>
  <si>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</si>
  <si>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</si>
  <si>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</si>
  <si>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</si>
  <si>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</si>
  <si>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</si>
  <si>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</si>
  <si>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</si>
  <si>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</si>
  <si>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</si>
  <si>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</si>
  <si>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</si>
  <si>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</si>
  <si>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</si>
  <si>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</si>
  <si>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</si>
  <si>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</si>
  <si>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</si>
  <si>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</si>
  <si>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</si>
  <si>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</si>
  <si>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</si>
  <si>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</si>
  <si>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</si>
  <si>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</si>
  <si>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</si>
  <si>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</si>
  <si>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</si>
  <si>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</si>
  <si>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</si>
  <si>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</si>
  <si>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</si>
  <si>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</si>
  <si>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</si>
  <si>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</si>
  <si>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</si>
  <si>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</si>
  <si>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</si>
  <si>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</si>
  <si>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</si>
  <si>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</si>
  <si>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</si>
  <si>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</si>
  <si>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</si>
  <si>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</si>
  <si>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</si>
  <si>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</si>
  <si>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</si>
  <si>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</si>
  <si>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</si>
  <si>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</si>
  <si>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</si>
  <si>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</si>
  <si>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</si>
  <si>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</si>
  <si>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</si>
  <si>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</si>
  <si>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</si>
  <si>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</si>
  <si>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</si>
  <si>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</si>
  <si>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</si>
  <si>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</si>
  <si>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</si>
  <si>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</si>
  <si>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</si>
  <si>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</si>
  <si>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</si>
  <si>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</si>
  <si>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</si>
  <si>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</si>
  <si>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</si>
  <si>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</si>
  <si>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</si>
  <si>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</si>
  <si>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</si>
  <si>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</si>
  <si>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</si>
  <si>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</si>
  <si>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</si>
  <si>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</si>
  <si>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</si>
  <si>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</si>
  <si>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</si>
  <si>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</si>
  <si>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</si>
  <si>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</si>
  <si>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</si>
  <si>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</si>
  <si>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</si>
  <si>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</si>
  <si>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</si>
  <si>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</si>
  <si>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</si>
  <si>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</si>
  <si>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</si>
  <si>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</si>
  <si>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</si>
  <si>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</si>
  <si>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</si>
  <si>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</si>
  <si>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</si>
  <si>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</si>
  <si>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</si>
  <si>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</si>
  <si>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</si>
  <si>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</si>
  <si>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</si>
  <si>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</si>
  <si>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</si>
  <si>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</si>
  <si>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</si>
  <si>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</si>
  <si>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</si>
  <si>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</si>
  <si>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</si>
  <si>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</si>
  <si>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</si>
  <si>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</si>
  <si>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</si>
  <si>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</si>
  <si>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</si>
  <si>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</si>
  <si>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</si>
  <si>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</si>
  <si>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</si>
  <si>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</si>
  <si>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</si>
  <si>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</si>
  <si>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</si>
  <si>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</si>
  <si>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</si>
  <si>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</si>
  <si>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</si>
  <si>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</si>
  <si>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</si>
  <si>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</si>
  <si>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</si>
  <si>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</si>
  <si>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</si>
  <si>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</si>
  <si>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</si>
  <si>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</si>
  <si>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</si>
  <si>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</si>
  <si>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</si>
  <si>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</si>
  <si>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</si>
  <si>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</si>
  <si>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</si>
  <si>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</si>
  <si>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</si>
  <si>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</si>
  <si>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</si>
  <si>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</si>
  <si>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</si>
  <si>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</si>
  <si>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</si>
  <si>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</si>
  <si>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</si>
  <si>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</si>
  <si>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</si>
  <si>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</si>
  <si>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</si>
  <si>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</si>
  <si>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</si>
  <si>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</si>
  <si>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</si>
  <si>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</si>
  <si>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</si>
  <si>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</si>
  <si>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</si>
  <si>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</si>
  <si>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</si>
  <si>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</si>
  <si>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</si>
  <si>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</si>
  <si>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</si>
  <si>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</si>
  <si>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</si>
  <si>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</si>
  <si>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</si>
  <si>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</si>
  <si>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</si>
  <si>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</si>
  <si>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</si>
  <si>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</si>
  <si>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</si>
  <si>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</si>
  <si>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</si>
  <si>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</si>
  <si>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</si>
  <si>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</si>
  <si>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</si>
  <si>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</si>
  <si>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</si>
  <si>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</si>
  <si>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</si>
  <si>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</si>
  <si>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</si>
  <si>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</si>
  <si>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</si>
  <si>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</si>
  <si>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</si>
  <si>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</si>
  <si>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</si>
  <si>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</si>
  <si>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</si>
  <si>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</si>
  <si>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</si>
  <si>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</si>
  <si>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</si>
  <si>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</si>
  <si>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</si>
  <si>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</si>
  <si>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</si>
  <si>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</si>
  <si>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</si>
  <si>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</si>
  <si>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</si>
  <si>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</si>
  <si>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</si>
  <si>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</si>
  <si>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</si>
  <si>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</si>
  <si>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</si>
  <si>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</si>
  <si>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</si>
  <si>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</si>
  <si>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</si>
  <si>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</si>
  <si>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</si>
  <si>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</si>
  <si>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</si>
  <si>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</si>
  <si>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</si>
  <si>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</si>
  <si>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</si>
  <si>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</si>
  <si>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</si>
  <si>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</si>
  <si>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</si>
  <si>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</si>
  <si>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</si>
  <si>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</si>
  <si>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</si>
  <si>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</si>
  <si>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</si>
  <si>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</si>
  <si>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</si>
  <si>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</si>
  <si>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</si>
  <si>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</si>
  <si>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</si>
  <si>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</si>
  <si>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</si>
  <si>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</si>
  <si>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</si>
  <si>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</si>
  <si>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</si>
  <si>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</si>
  <si>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</si>
  <si>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</si>
  <si>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</si>
  <si>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</si>
  <si>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</si>
  <si>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</si>
  <si>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</si>
  <si>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</si>
  <si>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</si>
  <si>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</si>
  <si>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</si>
  <si>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</si>
  <si>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</si>
  <si>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</si>
  <si>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</si>
  <si>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</si>
  <si>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</si>
  <si>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</si>
  <si>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</si>
  <si>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</si>
  <si>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</si>
  <si>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</si>
  <si>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</si>
  <si>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</si>
  <si>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</si>
  <si>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</si>
  <si>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</si>
  <si>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</si>
  <si>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</si>
  <si>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</si>
  <si>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</si>
  <si>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</si>
  <si>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</si>
  <si>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</si>
  <si>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</si>
  <si>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</si>
  <si>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</si>
  <si>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</si>
  <si>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</si>
  <si>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</si>
  <si>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</si>
  <si>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</si>
  <si>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</si>
  <si>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</si>
  <si>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</si>
  <si>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</si>
  <si>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</si>
  <si>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</si>
  <si>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</si>
  <si>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</si>
  <si>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</si>
  <si>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</si>
  <si>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</si>
  <si>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</si>
  <si>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</si>
  <si>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</si>
  <si>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</si>
  <si>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</si>
  <si>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</si>
  <si>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</si>
  <si>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</si>
  <si>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</si>
  <si>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</si>
  <si>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</si>
  <si>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</si>
  <si>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</si>
  <si>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</si>
  <si>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</si>
  <si>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</si>
  <si>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</si>
  <si>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</si>
  <si>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</si>
  <si>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</si>
  <si>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</si>
  <si>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</si>
  <si>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</si>
  <si>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</si>
  <si>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</si>
  <si>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</si>
  <si>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</si>
  <si>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</si>
  <si>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</si>
  <si>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</si>
  <si>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</si>
  <si>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</si>
  <si>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</si>
  <si>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</si>
  <si>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</si>
  <si>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</si>
  <si>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</si>
  <si>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</si>
  <si>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</si>
  <si>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</si>
  <si>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</si>
  <si>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</si>
  <si>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</si>
  <si>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</si>
  <si>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</si>
  <si>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</si>
  <si>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</si>
  <si>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</si>
  <si>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</si>
  <si>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</si>
  <si>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</si>
  <si>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</si>
  <si>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</si>
  <si>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</si>
  <si>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</si>
  <si>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</si>
  <si>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</si>
  <si>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</si>
  <si>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</si>
  <si>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</si>
  <si>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</si>
  <si>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</si>
  <si>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</si>
  <si>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</si>
  <si>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</si>
  <si>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</si>
  <si>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</si>
  <si>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</si>
  <si>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</si>
  <si>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</si>
  <si>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</si>
  <si>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</si>
  <si>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</si>
  <si>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</si>
  <si>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</si>
  <si>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</si>
  <si>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</si>
  <si>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</si>
  <si>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</si>
  <si>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</si>
  <si>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</si>
  <si>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</si>
  <si>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</si>
  <si>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</si>
  <si>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</si>
  <si>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</si>
  <si>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</si>
  <si>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</si>
  <si>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</si>
  <si>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</si>
  <si>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</si>
  <si>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</si>
  <si>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</si>
  <si>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</si>
  <si>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</si>
  <si>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</si>
  <si>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</si>
  <si>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</si>
  <si>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</si>
  <si>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</si>
  <si>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</si>
  <si>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</si>
  <si>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</si>
  <si>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</si>
  <si>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</si>
  <si>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</si>
  <si>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</si>
  <si>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</si>
  <si>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</si>
  <si>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</si>
  <si>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</si>
  <si>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</si>
  <si>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</si>
  <si>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</si>
  <si>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</si>
  <si>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</si>
  <si>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</si>
  <si>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</si>
  <si>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</si>
  <si>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</si>
  <si>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</si>
  <si>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</si>
  <si>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</si>
  <si>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</si>
  <si>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</si>
  <si>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</si>
  <si>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</si>
  <si>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</si>
  <si>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</si>
  <si>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</si>
  <si>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</si>
  <si>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</si>
  <si>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</si>
  <si>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</si>
  <si>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</si>
  <si>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</si>
  <si>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</si>
  <si>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</si>
  <si>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</si>
  <si>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</si>
  <si>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</si>
  <si>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</si>
  <si>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</si>
  <si>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</si>
  <si>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</si>
  <si>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</si>
  <si>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</si>
  <si>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</si>
  <si>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</si>
  <si>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</si>
  <si>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</si>
  <si>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</si>
  <si>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</si>
  <si>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</si>
  <si>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</si>
  <si>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</si>
  <si>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</si>
  <si>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</si>
  <si>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</si>
  <si>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</si>
  <si>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</si>
  <si>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</si>
  <si>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</si>
  <si>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</si>
  <si>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</si>
  <si>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</si>
  <si>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</si>
  <si>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</si>
  <si>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</si>
  <si>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</si>
  <si>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</si>
  <si>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</si>
  <si>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</si>
  <si>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</si>
  <si>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</si>
  <si>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</si>
  <si>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</si>
  <si>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</si>
  <si>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</si>
  <si>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</si>
  <si>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</si>
  <si>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</si>
  <si>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</si>
  <si>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</si>
  <si>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</si>
  <si>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</si>
  <si>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</si>
  <si>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</si>
  <si>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</si>
  <si>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</si>
  <si>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</si>
  <si>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</si>
  <si>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</si>
  <si>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</si>
  <si>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</si>
  <si>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</si>
  <si>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</si>
  <si>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</si>
  <si>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</si>
  <si>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</si>
  <si>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</si>
  <si>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</si>
  <si>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</si>
  <si>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</si>
  <si>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</si>
  <si>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</si>
  <si>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</si>
  <si>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</si>
  <si>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</si>
  <si>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</si>
  <si>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</si>
  <si>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</si>
  <si>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</si>
  <si>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</si>
  <si>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</si>
  <si>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</si>
  <si>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</si>
  <si>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</si>
  <si>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</si>
  <si>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</si>
  <si>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</si>
  <si>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</si>
  <si>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</si>
  <si>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</si>
  <si>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</si>
  <si>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</si>
  <si>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</si>
  <si>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</si>
  <si>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</si>
  <si>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</si>
  <si>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</si>
  <si>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</si>
  <si>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</si>
  <si>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</si>
  <si>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</si>
  <si>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</si>
  <si>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</si>
  <si>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</si>
  <si>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</si>
  <si>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</si>
  <si>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</si>
  <si>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</si>
  <si>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</si>
  <si>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</si>
  <si>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</si>
  <si>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</si>
  <si>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</si>
  <si>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</si>
  <si>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</si>
  <si>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</si>
  <si>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</si>
  <si>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</si>
  <si>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</si>
  <si>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</si>
  <si>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</si>
  <si>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</si>
  <si>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</si>
  <si>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</si>
  <si>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</si>
  <si>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</si>
  <si>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</si>
  <si>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</si>
  <si>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</si>
  <si>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</si>
  <si>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</si>
  <si>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</si>
  <si>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</si>
  <si>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</si>
  <si>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</si>
  <si>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</si>
  <si>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</si>
  <si>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</si>
  <si>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</si>
  <si>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</si>
  <si>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</si>
  <si>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</si>
  <si>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</si>
  <si>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</si>
  <si>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</si>
  <si>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</si>
  <si>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</si>
  <si>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</si>
  <si>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</si>
  <si>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</si>
  <si>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</si>
  <si>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</si>
  <si>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</si>
  <si>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</si>
  <si>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</si>
  <si>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</si>
  <si>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</si>
  <si>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</si>
  <si>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</si>
  <si>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</si>
  <si>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</si>
  <si>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</si>
  <si>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</si>
  <si>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</si>
  <si>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</si>
  <si>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</si>
  <si>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</si>
  <si>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</si>
  <si>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</si>
  <si>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</si>
  <si>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</si>
  <si>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</si>
  <si>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</si>
  <si>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</si>
  <si>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</si>
  <si>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</si>
  <si>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</si>
  <si>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</si>
  <si>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</si>
  <si>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</si>
  <si>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</si>
  <si>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</si>
  <si>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</si>
  <si>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</si>
  <si>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</si>
  <si>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</si>
  <si>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</si>
  <si>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</si>
  <si>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</si>
  <si>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</si>
  <si>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</si>
  <si>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</si>
  <si>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</si>
  <si>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</si>
  <si>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</si>
  <si>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</si>
  <si>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</si>
  <si>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</si>
  <si>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</si>
  <si>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</si>
  <si>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</si>
  <si>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</si>
  <si>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</si>
  <si>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</si>
  <si>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</si>
  <si>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</si>
  <si>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</si>
  <si>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</si>
  <si>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</si>
  <si>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</si>
  <si>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</si>
  <si>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</si>
  <si>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</si>
  <si>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</si>
  <si>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</si>
  <si>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</si>
  <si>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</si>
  <si>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</si>
  <si>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</si>
  <si>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</si>
  <si>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</si>
  <si>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</si>
  <si>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</si>
  <si>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</si>
  <si>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</si>
  <si>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</si>
  <si>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</si>
  <si>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</si>
  <si>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</si>
  <si>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</si>
  <si>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</si>
  <si>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</si>
  <si>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</si>
  <si>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</si>
  <si>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</si>
  <si>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</si>
  <si>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</si>
  <si>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</si>
  <si>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</si>
  <si>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</si>
  <si>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</si>
  <si>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</si>
  <si>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</si>
  <si>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</si>
  <si>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</si>
  <si>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</si>
  <si>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</si>
  <si>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</si>
  <si>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</si>
  <si>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</si>
  <si>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</si>
  <si>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</si>
  <si>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</si>
  <si>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</si>
  <si>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</si>
  <si>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</si>
  <si>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</si>
  <si>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</si>
  <si>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</si>
  <si>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</si>
  <si>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</si>
  <si>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</si>
  <si>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</si>
  <si>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</si>
  <si>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</si>
  <si>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</si>
  <si>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</si>
  <si>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</si>
  <si>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</si>
  <si>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</si>
  <si>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</si>
  <si>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</si>
  <si>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</si>
  <si>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</si>
  <si>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</si>
  <si>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</si>
  <si>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</si>
  <si>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</si>
  <si>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</si>
  <si>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</si>
  <si>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</si>
  <si>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</si>
  <si>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</si>
  <si>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</si>
  <si>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</si>
  <si>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</si>
  <si>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</si>
  <si>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</si>
  <si>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</si>
  <si>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</si>
  <si>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</si>
  <si>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</si>
  <si>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</si>
  <si>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</si>
  <si>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</si>
  <si>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</si>
  <si>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</si>
  <si>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</si>
  <si>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</si>
  <si>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</si>
  <si>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</si>
  <si>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</si>
  <si>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</si>
  <si>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</si>
  <si>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</si>
  <si>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</si>
  <si>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</si>
  <si>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</si>
  <si>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</si>
  <si>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</si>
  <si>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</si>
  <si>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</si>
  <si>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</si>
  <si>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</si>
  <si>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</si>
  <si>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</si>
  <si>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</si>
  <si>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</si>
  <si>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</si>
  <si>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</si>
  <si>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</si>
  <si>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</si>
  <si>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</si>
  <si>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</si>
  <si>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</si>
  <si>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</si>
  <si>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</si>
  <si>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</si>
  <si>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</si>
  <si>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</si>
  <si>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</si>
  <si>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</si>
  <si>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</si>
  <si>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</si>
  <si>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</si>
  <si>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</si>
  <si>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</si>
  <si>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</si>
  <si>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</si>
  <si>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</si>
  <si>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</si>
  <si>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</si>
  <si>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</si>
  <si>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</si>
  <si>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</si>
  <si>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</si>
  <si>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</si>
  <si>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</si>
  <si>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</si>
  <si>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</si>
  <si>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</si>
  <si>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</si>
  <si>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</si>
  <si>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</si>
  <si>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</si>
  <si>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</si>
  <si>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</si>
  <si>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</si>
  <si>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</si>
  <si>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</si>
  <si>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</si>
  <si>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</si>
  <si>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</si>
  <si>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</si>
  <si>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</si>
  <si>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</si>
  <si>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</si>
  <si>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</si>
  <si>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</si>
  <si>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</si>
  <si>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</si>
  <si>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</si>
  <si>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</si>
  <si>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</si>
  <si>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</si>
  <si>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</si>
  <si>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</si>
  <si>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</si>
  <si>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</si>
  <si>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</si>
  <si>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</si>
  <si>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</si>
  <si>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</si>
  <si>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</si>
  <si>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</si>
  <si>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</si>
  <si>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</si>
  <si>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</si>
  <si>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</si>
  <si>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</si>
  <si>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</si>
  <si>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</si>
  <si>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</si>
  <si>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</si>
  <si>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</si>
  <si>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</si>
  <si>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</si>
  <si>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</si>
  <si>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</si>
  <si>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</si>
  <si>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</si>
  <si>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</si>
  <si>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</si>
  <si>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</si>
  <si>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</si>
  <si>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</si>
  <si>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</si>
  <si>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</si>
  <si>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</si>
  <si>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</si>
  <si>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</si>
  <si>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</si>
  <si>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</si>
  <si>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</si>
  <si>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</si>
  <si>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</si>
  <si>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</si>
  <si>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</si>
  <si>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</si>
  <si>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</si>
  <si>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</si>
  <si>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</si>
  <si>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</si>
  <si>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</si>
  <si>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</si>
  <si>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</si>
  <si>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</si>
  <si>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</si>
  <si>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</si>
  <si>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</si>
  <si>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</si>
  <si>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</si>
  <si>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</si>
  <si>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</si>
  <si>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</si>
  <si>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</si>
  <si>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</si>
  <si>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</si>
  <si>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</si>
  <si>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</si>
  <si>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</si>
  <si>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</si>
  <si>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</si>
  <si>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</si>
  <si>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</si>
  <si>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</si>
  <si>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</si>
  <si>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</si>
  <si>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</si>
  <si>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</si>
  <si>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</si>
  <si>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</si>
  <si>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</si>
  <si>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</si>
  <si>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</si>
  <si>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</si>
  <si>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</si>
  <si>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</si>
  <si>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</si>
  <si>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</si>
  <si>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</si>
  <si>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</si>
  <si>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</si>
  <si>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</si>
  <si>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</si>
  <si>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</si>
  <si>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</si>
  <si>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</si>
  <si>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</si>
  <si>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</si>
  <si>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</si>
  <si>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</si>
  <si>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</si>
  <si>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</si>
  <si>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</si>
  <si>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</si>
  <si>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</si>
  <si>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</si>
  <si>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</si>
  <si>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</si>
  <si>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</si>
  <si>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</si>
  <si>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</si>
  <si>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</si>
  <si>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</si>
  <si>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</si>
  <si>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</si>
  <si>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</si>
  <si>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</si>
  <si>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</si>
  <si>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</si>
  <si>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</si>
  <si>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</si>
  <si>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</si>
  <si>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</si>
  <si>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</si>
  <si>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</si>
  <si>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</si>
  <si>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</si>
  <si>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</si>
  <si>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</si>
  <si>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</si>
  <si>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</si>
  <si>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</si>
  <si>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</si>
  <si>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</si>
  <si>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</si>
  <si>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</si>
  <si>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</si>
  <si>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</si>
  <si>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</si>
  <si>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</si>
  <si>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</si>
  <si>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</si>
  <si>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</si>
  <si>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</si>
  <si>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</si>
  <si>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</si>
  <si>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</si>
  <si>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</si>
  <si>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</si>
  <si>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</si>
  <si>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</si>
  <si>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</si>
  <si>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</si>
  <si>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</si>
  <si>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</si>
  <si>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</si>
  <si>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</si>
  <si>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</si>
  <si>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</si>
  <si>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</si>
  <si>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</si>
  <si>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</si>
  <si>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</si>
  <si>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</si>
  <si>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</si>
  <si>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</si>
  <si>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</si>
  <si>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</si>
  <si>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</si>
  <si>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</si>
  <si>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</si>
  <si>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</si>
  <si>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</si>
  <si>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</si>
  <si>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</si>
  <si>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</si>
  <si>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</si>
  <si>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</si>
  <si>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</si>
  <si>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</si>
  <si>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</si>
  <si>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</si>
  <si>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</si>
  <si>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</si>
  <si>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</si>
  <si>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</si>
  <si>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</si>
  <si>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</si>
  <si>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</si>
  <si>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</si>
  <si>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</si>
  <si>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</si>
  <si>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</si>
  <si>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</si>
  <si>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</si>
  <si>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</si>
  <si>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</si>
  <si>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</si>
  <si>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</si>
  <si>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</si>
  <si>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</si>
  <si>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</si>
  <si>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</si>
  <si>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</si>
  <si>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</si>
  <si>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</si>
  <si>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</si>
  <si>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</si>
  <si>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</si>
  <si>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</si>
  <si>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</si>
  <si>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</si>
  <si>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</si>
  <si>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</si>
  <si>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</si>
  <si>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</si>
  <si>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</si>
  <si>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</si>
  <si>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</si>
  <si>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</si>
  <si>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</si>
  <si>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</si>
  <si>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</si>
  <si>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</si>
  <si>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</si>
  <si>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</si>
  <si>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</si>
  <si>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</si>
  <si>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</si>
  <si>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</si>
  <si>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</si>
  <si>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</si>
  <si>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</si>
  <si>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</si>
  <si>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</si>
  <si>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</si>
  <si>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</si>
  <si>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</si>
  <si>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</si>
  <si>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</si>
  <si>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</si>
  <si>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</si>
  <si>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</si>
  <si>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</si>
  <si>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</si>
  <si>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</si>
  <si>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</si>
  <si>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</si>
  <si>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</si>
  <si>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</si>
  <si>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</si>
  <si>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</si>
  <si>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</si>
  <si>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</si>
  <si>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</si>
  <si>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</si>
  <si>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</si>
  <si>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</si>
  <si>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</si>
  <si>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</si>
  <si>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</si>
  <si>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</si>
  <si>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</si>
  <si>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</si>
  <si>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</si>
  <si>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</si>
  <si>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</si>
  <si>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</si>
  <si>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</si>
  <si>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</si>
  <si>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</si>
  <si>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</si>
  <si>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</si>
  <si>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</si>
  <si>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</si>
  <si>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</si>
  <si>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</si>
  <si>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</si>
  <si>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</si>
  <si>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</si>
  <si>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</si>
  <si>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</si>
  <si>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</si>
  <si>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</si>
  <si>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</si>
  <si>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</si>
  <si>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</si>
  <si>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</si>
  <si>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</si>
  <si>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</si>
  <si>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</si>
  <si>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</si>
  <si>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</si>
  <si>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</si>
  <si>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</si>
  <si>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</si>
  <si>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</si>
  <si>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</si>
  <si>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</si>
  <si>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</si>
  <si>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</si>
  <si>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</si>
  <si>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</si>
  <si>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</si>
  <si>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</si>
  <si>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</si>
  <si>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</si>
  <si>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</si>
  <si>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</si>
  <si>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</si>
  <si>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</si>
  <si>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</si>
  <si>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</si>
  <si>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</si>
  <si>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</si>
  <si>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</si>
  <si>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</si>
  <si>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</si>
  <si>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</si>
  <si>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</si>
  <si>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</si>
  <si>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</si>
  <si>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</si>
  <si>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</si>
  <si>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</si>
  <si>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</si>
  <si>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</si>
  <si>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</si>
  <si>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</si>
  <si>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</si>
  <si>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</si>
  <si>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</si>
  <si>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</si>
  <si>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</si>
  <si>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</si>
  <si>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</si>
  <si>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</si>
  <si>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</si>
  <si>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</si>
  <si>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</si>
  <si>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</si>
  <si>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</si>
  <si>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</si>
  <si>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</si>
  <si>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</si>
  <si>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</si>
  <si>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</si>
  <si>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</si>
  <si>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</si>
  <si>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</si>
  <si>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</si>
  <si>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</si>
  <si>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</si>
  <si>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</si>
  <si>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</si>
  <si>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</si>
  <si>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</si>
  <si>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</si>
  <si>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</si>
  <si>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</si>
  <si>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</si>
  <si>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</si>
  <si>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</si>
  <si>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</si>
  <si>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</si>
  <si>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</si>
  <si>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</si>
  <si>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</si>
  <si>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</si>
  <si>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</si>
  <si>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</si>
  <si>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</si>
  <si>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</si>
  <si>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</si>
  <si>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</si>
  <si>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</si>
  <si>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</si>
  <si>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</si>
  <si>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</si>
  <si>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</si>
  <si>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</si>
  <si>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</si>
  <si>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</si>
  <si>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</si>
  <si>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</si>
  <si>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</si>
  <si>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</si>
  <si>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</si>
  <si>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</si>
  <si>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</si>
  <si>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</si>
  <si>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</si>
  <si>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</si>
  <si>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</si>
  <si>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</si>
  <si>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</si>
  <si>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</si>
  <si>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</si>
  <si>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</si>
  <si>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</si>
  <si>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</si>
  <si>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</si>
  <si>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</si>
  <si>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</si>
  <si>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</si>
  <si>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</si>
  <si>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</si>
  <si>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</si>
  <si>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</si>
  <si>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</si>
  <si>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</si>
  <si>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</si>
  <si>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</si>
  <si>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</si>
  <si>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</si>
  <si>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</si>
  <si>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</si>
  <si>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</si>
  <si>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</si>
  <si>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</si>
  <si>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</si>
  <si>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</si>
  <si>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</si>
  <si>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</si>
  <si>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</si>
  <si>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</si>
  <si>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</si>
  <si>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</si>
  <si>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</si>
  <si>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</si>
  <si>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</si>
  <si>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</si>
  <si>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</si>
  <si>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</si>
  <si>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</si>
  <si>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</si>
  <si>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</si>
  <si>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</si>
  <si>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</si>
  <si>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</si>
  <si>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</si>
  <si>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</si>
  <si>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</si>
  <si>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</si>
  <si>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</si>
  <si>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</si>
  <si>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</si>
  <si>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</si>
  <si>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</si>
  <si>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</si>
  <si>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</si>
  <si>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</si>
  <si>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</si>
  <si>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</si>
  <si>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</si>
  <si>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</si>
  <si>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</si>
  <si>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</si>
  <si>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</si>
  <si>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</si>
  <si>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</si>
  <si>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</si>
  <si>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</si>
  <si>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</si>
  <si>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</si>
  <si>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</si>
  <si>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</si>
  <si>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</si>
  <si>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</si>
  <si>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</si>
  <si>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</si>
  <si>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</si>
  <si>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</si>
  <si>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</si>
  <si>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</si>
  <si>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</si>
  <si>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</si>
  <si>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</si>
  <si>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</si>
  <si>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</si>
  <si>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</si>
  <si>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</si>
  <si>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</si>
  <si>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</si>
  <si>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</si>
  <si>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</si>
  <si>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</si>
  <si>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</si>
  <si>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</si>
  <si>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</si>
  <si>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</si>
  <si>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</si>
  <si>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</si>
  <si>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</si>
  <si>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</si>
  <si>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</si>
  <si>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</si>
  <si>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</si>
  <si>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</si>
  <si>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</si>
  <si>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</si>
  <si>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</si>
  <si>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</si>
  <si>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</si>
  <si>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</si>
  <si>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</si>
  <si>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</si>
  <si>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</si>
  <si>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</si>
  <si>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</si>
  <si>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</si>
  <si>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</si>
  <si>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</si>
  <si>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</si>
  <si>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</si>
  <si>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</si>
  <si>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</si>
  <si>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</si>
  <si>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</si>
  <si>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</si>
  <si>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</si>
  <si>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</si>
  <si>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</si>
  <si>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</si>
  <si>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</si>
  <si>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</si>
  <si>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</si>
  <si>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</si>
  <si>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</si>
  <si>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</si>
  <si>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</si>
  <si>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</si>
  <si>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</si>
  <si>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</si>
  <si>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</si>
  <si>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</si>
  <si>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</si>
  <si>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</si>
  <si>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</si>
  <si>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</si>
  <si>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</si>
  <si>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</si>
  <si>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</si>
  <si>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</si>
  <si>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</si>
  <si>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</si>
  <si>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</si>
  <si>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</si>
  <si>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</si>
  <si>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</si>
  <si>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</si>
  <si>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</si>
  <si>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</si>
  <si>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</si>
  <si>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</si>
  <si>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</si>
  <si>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</si>
  <si>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</si>
  <si>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</si>
  <si>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</si>
  <si>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</si>
  <si>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</si>
  <si>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</si>
  <si>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</si>
  <si>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</si>
  <si>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</si>
  <si>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</si>
  <si>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</si>
  <si>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</si>
  <si>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</si>
  <si>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</si>
  <si>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</si>
  <si>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</si>
  <si>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</si>
  <si>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</si>
  <si>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</si>
  <si>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</si>
  <si>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</si>
  <si>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</si>
  <si>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</si>
  <si>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</si>
  <si>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</si>
  <si>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</si>
  <si>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</si>
  <si>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</si>
  <si>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</si>
  <si>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</si>
  <si>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</si>
  <si>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</si>
  <si>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</si>
  <si>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</si>
  <si>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</si>
  <si>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</si>
  <si>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</si>
  <si>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</si>
  <si>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</si>
  <si>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</si>
  <si>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</si>
  <si>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</si>
  <si>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</si>
  <si>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</si>
  <si>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</si>
  <si>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</si>
  <si>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</si>
  <si>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</si>
  <si>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</si>
  <si>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</si>
  <si>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</si>
  <si>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</si>
  <si>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</si>
  <si>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</si>
  <si>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</si>
  <si>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</si>
  <si>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</si>
  <si>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</si>
  <si>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</si>
  <si>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</si>
  <si>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</si>
  <si>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</si>
  <si>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</si>
  <si>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</si>
  <si>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</si>
  <si>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</si>
  <si>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</si>
  <si>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</si>
  <si>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</si>
  <si>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</si>
  <si>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</si>
  <si>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</si>
  <si>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</si>
  <si>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</si>
  <si>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</si>
  <si>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</si>
  <si>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</si>
  <si>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</si>
  <si>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</si>
  <si>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</si>
  <si>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</si>
  <si>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</si>
  <si>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</si>
  <si>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</si>
  <si>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</si>
  <si>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</si>
  <si>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</si>
  <si>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</si>
  <si>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</si>
  <si>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</si>
  <si>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</si>
  <si>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</si>
  <si>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</si>
  <si>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</si>
  <si>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</si>
  <si>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</si>
  <si>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</si>
  <si>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</si>
  <si>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</si>
  <si>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</si>
  <si>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</si>
  <si>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</si>
  <si>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</si>
  <si>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</si>
  <si>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</si>
  <si>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</si>
  <si>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</si>
  <si>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</si>
  <si>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</si>
  <si>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</si>
  <si>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</si>
  <si>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</si>
  <si>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</si>
  <si>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</si>
  <si>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</si>
  <si>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</si>
  <si>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</si>
  <si>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</si>
  <si>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</si>
  <si>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</si>
  <si>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</si>
  <si>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</si>
  <si>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</si>
  <si>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</si>
  <si>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</si>
  <si>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</si>
  <si>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</si>
  <si>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</si>
  <si>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</si>
  <si>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</si>
  <si>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</si>
  <si>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</si>
  <si>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</si>
  <si>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</si>
  <si>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</si>
  <si>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</si>
  <si>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</si>
  <si>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</si>
  <si>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</si>
  <si>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</si>
  <si>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</si>
  <si>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</si>
  <si>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</si>
  <si>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</si>
  <si>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</si>
  <si>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</si>
  <si>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</si>
  <si>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</si>
  <si>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</si>
  <si>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</si>
  <si>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</si>
  <si>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</si>
  <si>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</si>
  <si>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</si>
  <si>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</si>
  <si>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</si>
  <si>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</si>
  <si>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</si>
  <si>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</si>
  <si>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</si>
  <si>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</si>
  <si>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</si>
  <si>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</si>
  <si>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</si>
  <si>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</si>
  <si>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</si>
  <si>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</si>
  <si>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</si>
  <si>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</si>
  <si>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</si>
  <si>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</si>
  <si>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</si>
  <si>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</si>
  <si>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</si>
  <si>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</si>
  <si>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</si>
  <si>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</si>
  <si>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</si>
  <si>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</si>
  <si>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</si>
  <si>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</si>
  <si>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</si>
  <si>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</si>
  <si>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</si>
  <si>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</si>
  <si>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</si>
  <si>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</si>
  <si>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</si>
  <si>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</si>
  <si>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</si>
  <si>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</si>
  <si>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</si>
  <si>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</si>
  <si>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</si>
  <si>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</si>
  <si>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</si>
  <si>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</si>
  <si>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</si>
  <si>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</si>
  <si>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</si>
  <si>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</si>
  <si>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</si>
  <si>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</si>
  <si>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</si>
  <si>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</si>
  <si>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</si>
  <si>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</si>
  <si>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</si>
  <si>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</si>
  <si>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</si>
  <si>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</si>
  <si>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</si>
  <si>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</si>
  <si>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</si>
  <si>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</si>
  <si>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</si>
  <si>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</si>
  <si>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</si>
  <si>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</si>
  <si>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</si>
  <si>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</si>
  <si>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</si>
  <si>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</si>
  <si>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</si>
  <si>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</si>
  <si>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</si>
  <si>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</si>
  <si>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</si>
  <si>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</si>
  <si>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</si>
  <si>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</si>
  <si>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</si>
  <si>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</si>
  <si>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</si>
  <si>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</si>
  <si>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</si>
  <si>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</si>
  <si>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</si>
  <si>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</si>
  <si>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</si>
  <si>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</si>
  <si>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</si>
  <si>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</si>
  <si>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</si>
  <si>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</si>
  <si>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</si>
  <si>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</si>
  <si>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</si>
  <si>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</si>
  <si>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</si>
  <si>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</si>
  <si>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</si>
  <si>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</si>
  <si>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</si>
  <si>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</si>
  <si>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</si>
  <si>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</si>
  <si>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</si>
  <si>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</si>
  <si>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</si>
  <si>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</si>
  <si>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</si>
  <si>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</si>
  <si>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</si>
  <si>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</si>
  <si>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</si>
  <si>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</si>
  <si>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</si>
  <si>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</si>
  <si>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</si>
  <si>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</si>
  <si>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</si>
  <si>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</si>
  <si>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</si>
  <si>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</si>
  <si>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</si>
  <si>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</si>
  <si>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</si>
  <si>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</si>
  <si>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</si>
  <si>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</si>
  <si>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</si>
  <si>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</si>
  <si>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</si>
  <si>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</si>
  <si>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</si>
  <si>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</si>
  <si>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</si>
  <si>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</si>
  <si>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</si>
  <si>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</si>
  <si>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</si>
  <si>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</si>
  <si>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</si>
  <si>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</si>
  <si>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</si>
  <si>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</si>
  <si>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</si>
  <si>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</si>
  <si>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</si>
  <si>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</si>
  <si>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</si>
  <si>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</si>
  <si>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</si>
  <si>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</si>
  <si>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</si>
  <si>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</si>
  <si>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</si>
  <si>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</si>
  <si>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</si>
  <si>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</si>
  <si>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</si>
  <si>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</si>
  <si>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</si>
  <si>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</si>
  <si>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</si>
  <si>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</si>
  <si>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</si>
  <si>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</si>
  <si>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</si>
  <si>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</si>
  <si>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</si>
  <si>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</si>
  <si>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</si>
  <si>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</si>
  <si>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</si>
  <si>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</si>
  <si>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</si>
  <si>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</si>
  <si>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</si>
  <si>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</si>
  <si>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</si>
  <si>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</si>
  <si>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</si>
  <si>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</si>
  <si>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</si>
  <si>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</si>
  <si>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</si>
  <si>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</si>
  <si>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</si>
  <si>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</si>
  <si>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</si>
  <si>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</si>
  <si>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</si>
  <si>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</si>
  <si>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</si>
  <si>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</si>
  <si>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</si>
  <si>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</si>
  <si>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</si>
  <si>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</si>
  <si>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</si>
  <si>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</si>
  <si>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</si>
  <si>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</si>
  <si>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</si>
  <si>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</si>
  <si>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</si>
  <si>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</si>
  <si>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</si>
  <si>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</si>
  <si>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</si>
  <si>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</si>
  <si>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</si>
  <si>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</si>
  <si>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</si>
  <si>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</si>
  <si>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</si>
  <si>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</si>
  <si>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</si>
  <si>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</si>
  <si>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</si>
  <si>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</si>
  <si>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</si>
  <si>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</si>
  <si>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</si>
  <si>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</si>
  <si>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</si>
  <si>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</si>
  <si>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</si>
  <si>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</si>
  <si>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</si>
  <si>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</si>
  <si>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</si>
  <si>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</si>
  <si>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</si>
  <si>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</si>
  <si>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</si>
  <si>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</si>
  <si>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</si>
  <si>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</si>
  <si>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</si>
  <si>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</si>
  <si>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</si>
  <si>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</si>
  <si>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</si>
  <si>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</si>
  <si>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</si>
  <si>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</si>
  <si>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</si>
  <si>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</si>
  <si>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</si>
  <si>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</si>
  <si>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</si>
  <si>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</si>
  <si>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</si>
  <si>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</si>
  <si>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</si>
  <si>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</si>
  <si>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</si>
  <si>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</si>
  <si>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</si>
  <si>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</si>
  <si>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</si>
  <si>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</si>
  <si>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</si>
  <si>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</si>
  <si>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</si>
  <si>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</si>
  <si>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</si>
  <si>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</si>
  <si>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</si>
  <si>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</si>
  <si>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</si>
  <si>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</si>
  <si>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</si>
  <si>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</si>
  <si>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</si>
  <si>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</si>
  <si>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</si>
  <si>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</si>
  <si>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</si>
  <si>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</si>
  <si>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</si>
  <si>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</si>
  <si>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</si>
  <si>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</si>
  <si>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</si>
  <si>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</si>
  <si>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</si>
  <si>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</si>
  <si>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</si>
  <si>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</si>
  <si>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</si>
  <si>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</si>
  <si>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</si>
  <si>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</si>
  <si>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</si>
  <si>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</si>
  <si>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</si>
  <si>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</si>
  <si>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</si>
  <si>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</si>
  <si>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</si>
  <si>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</si>
  <si>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</si>
  <si>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</si>
  <si>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</si>
  <si>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</si>
  <si>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</si>
  <si>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</si>
  <si>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</si>
  <si>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</si>
  <si>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</si>
  <si>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</si>
  <si>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</si>
  <si>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</si>
  <si>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</si>
  <si>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</si>
  <si>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</si>
  <si>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</si>
  <si>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</si>
  <si>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</si>
  <si>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</si>
  <si>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</si>
  <si>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</si>
  <si>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</si>
  <si>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</si>
  <si>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</si>
  <si>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</si>
  <si>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</si>
  <si>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</si>
  <si>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</si>
  <si>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</si>
  <si>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</si>
  <si>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</si>
  <si>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</si>
  <si>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</si>
  <si>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</si>
  <si>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</si>
  <si>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</si>
  <si>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</si>
  <si>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</si>
  <si>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</si>
  <si>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</si>
  <si>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</si>
  <si>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</si>
  <si>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</si>
  <si>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</si>
  <si>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</si>
  <si>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</si>
  <si>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</si>
  <si>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</si>
  <si>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</si>
  <si>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</si>
  <si>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</si>
  <si>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</si>
  <si>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</si>
  <si>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</si>
  <si>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</si>
  <si>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</si>
  <si>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</si>
  <si>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</si>
  <si>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</si>
  <si>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</si>
  <si>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</si>
  <si>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</si>
  <si>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</si>
  <si>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</si>
  <si>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</si>
  <si>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</si>
  <si>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</si>
  <si>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</si>
  <si>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</si>
  <si>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</si>
  <si>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</si>
  <si>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</si>
  <si>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</si>
  <si>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</si>
  <si>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</si>
  <si>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</si>
  <si>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</si>
  <si>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</si>
  <si>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</si>
  <si>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</si>
  <si>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</si>
  <si>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</si>
  <si>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</si>
  <si>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</si>
  <si>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</si>
  <si>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</si>
  <si>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</si>
  <si>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</si>
  <si>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</si>
  <si>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</si>
  <si>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</si>
  <si>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</si>
  <si>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</si>
  <si>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</si>
  <si>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</si>
  <si>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</si>
  <si>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</si>
  <si>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</si>
  <si>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</si>
  <si>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</si>
  <si>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</si>
  <si>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</si>
  <si>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</si>
  <si>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</si>
  <si>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</si>
  <si>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</si>
  <si>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</si>
  <si>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</si>
  <si>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</si>
  <si>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</si>
  <si>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</si>
  <si>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</si>
  <si>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</si>
  <si>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</si>
  <si>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</si>
  <si>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</si>
  <si>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</si>
  <si>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</si>
  <si>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</si>
  <si>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</si>
  <si>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</si>
  <si>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</si>
  <si>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</si>
  <si>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</si>
  <si>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</si>
  <si>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</si>
  <si>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</si>
  <si>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</si>
  <si>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</si>
  <si>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</si>
  <si>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</si>
  <si>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</si>
  <si>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</si>
  <si>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</si>
  <si>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</si>
  <si>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</si>
  <si>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</si>
  <si>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</si>
  <si>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</si>
  <si>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</si>
  <si>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</si>
  <si>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</si>
  <si>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</si>
  <si>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</si>
  <si>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</si>
  <si>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</si>
  <si>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</si>
  <si>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</si>
  <si>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</si>
  <si>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</si>
  <si>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</si>
  <si>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</si>
  <si>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</si>
  <si>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</si>
  <si>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</si>
  <si>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</si>
  <si>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</si>
  <si>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</si>
  <si>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</si>
  <si>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</si>
  <si>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</si>
  <si>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</si>
  <si>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</si>
  <si>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</si>
  <si>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</si>
  <si>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</si>
  <si>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</si>
  <si>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</si>
  <si>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</si>
  <si>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</si>
  <si>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</si>
  <si>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</si>
  <si>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</si>
  <si>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</si>
  <si>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</si>
  <si>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</si>
  <si>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</si>
  <si>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</si>
  <si>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</si>
  <si>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</si>
  <si>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</si>
  <si>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</si>
  <si>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</si>
  <si>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</si>
  <si>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</si>
  <si>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</si>
  <si>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</si>
  <si>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</si>
  <si>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</si>
  <si>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</si>
  <si>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</si>
  <si>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</si>
  <si>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</si>
  <si>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</si>
  <si>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</si>
  <si>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</si>
  <si>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</si>
  <si>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</si>
  <si>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</si>
  <si>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</si>
  <si>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</si>
  <si>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</si>
  <si>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</si>
  <si>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</si>
  <si>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</si>
  <si>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</si>
  <si>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</si>
  <si>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</si>
  <si>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</si>
  <si>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</si>
  <si>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</si>
  <si>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</si>
  <si>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</si>
  <si>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</si>
  <si>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</si>
  <si>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</si>
  <si>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</si>
  <si>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</si>
  <si>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</si>
  <si>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</si>
  <si>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</si>
  <si>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</si>
  <si>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</si>
  <si>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</si>
  <si>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</si>
  <si>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</si>
  <si>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</si>
  <si>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</si>
  <si>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</si>
  <si>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</si>
  <si>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</si>
  <si>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</si>
  <si>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</si>
  <si>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</si>
  <si>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</si>
  <si>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</si>
  <si>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</si>
  <si>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</si>
  <si>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</si>
  <si>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</si>
  <si>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</si>
  <si>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</si>
  <si>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</si>
  <si>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</si>
  <si>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</si>
  <si>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</si>
  <si>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</si>
  <si>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</si>
  <si>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</si>
  <si>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</si>
  <si>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</si>
  <si>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</si>
  <si>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</si>
  <si>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</si>
  <si>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</si>
  <si>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</si>
  <si>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</si>
  <si>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</si>
  <si>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</si>
  <si>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</si>
  <si>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</si>
  <si>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</si>
  <si>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</si>
  <si>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</si>
  <si>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</si>
  <si>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</si>
  <si>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</si>
  <si>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</si>
  <si>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</si>
  <si>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</si>
  <si>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</si>
  <si>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</si>
  <si>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</si>
  <si>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</si>
  <si>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</si>
  <si>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</si>
  <si>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</si>
  <si>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</si>
  <si>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</si>
  <si>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</si>
  <si>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</si>
  <si>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</si>
  <si>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</si>
  <si>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</si>
  <si>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</si>
  <si>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</si>
  <si>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</si>
  <si>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</si>
  <si>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</si>
  <si>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</si>
  <si>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</si>
  <si>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</si>
  <si>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</si>
  <si>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</si>
  <si>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</si>
  <si>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</si>
  <si>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</si>
  <si>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</si>
  <si>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</si>
  <si>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</si>
  <si>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</si>
  <si>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</si>
  <si>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</si>
  <si>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</si>
  <si>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</si>
  <si>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</si>
  <si>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</si>
  <si>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</si>
  <si>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</si>
  <si>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</si>
  <si>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</si>
  <si>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</si>
  <si>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</si>
  <si>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</si>
  <si>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</si>
  <si>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</si>
  <si>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</si>
  <si>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</si>
  <si>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</si>
  <si>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</si>
  <si>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</si>
  <si>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</si>
  <si>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</si>
  <si>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</si>
  <si>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</si>
  <si>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</si>
  <si>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</si>
  <si>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</si>
  <si>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</si>
  <si>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</si>
  <si>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</si>
  <si>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</si>
  <si>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</si>
  <si>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</si>
  <si>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</si>
  <si>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</si>
  <si>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</si>
  <si>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</si>
  <si>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</si>
  <si>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</si>
  <si>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</si>
  <si>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</si>
  <si>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</si>
  <si>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</si>
  <si>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</si>
  <si>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</si>
  <si>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</si>
  <si>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</si>
  <si>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</si>
  <si>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</si>
  <si>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</si>
  <si>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</si>
  <si>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</si>
  <si>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</si>
  <si>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</si>
  <si>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</si>
  <si>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</si>
  <si>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</si>
  <si>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</si>
  <si>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</si>
  <si>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</si>
  <si>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</si>
  <si>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</si>
  <si>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</si>
  <si>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</si>
  <si>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</si>
  <si>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</si>
  <si>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</si>
  <si>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</si>
  <si>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</si>
  <si>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</si>
  <si>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</si>
  <si>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</si>
  <si>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</si>
  <si>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</si>
  <si>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</si>
  <si>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</si>
  <si>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</si>
  <si>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</si>
  <si>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</si>
  <si>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</si>
  <si>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</si>
  <si>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</si>
  <si>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</si>
  <si>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</si>
  <si>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</si>
  <si>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</si>
  <si>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</si>
  <si>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</si>
  <si>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</si>
  <si>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</si>
  <si>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</si>
  <si>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</si>
  <si>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</si>
  <si>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</si>
  <si>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</si>
  <si>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</si>
  <si>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</si>
  <si>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</si>
  <si>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</si>
  <si>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</si>
  <si>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</si>
  <si>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</si>
  <si>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</si>
  <si>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</si>
  <si>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</si>
  <si>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</si>
  <si>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</si>
  <si>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</si>
  <si>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</si>
  <si>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</si>
  <si>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</si>
  <si>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</si>
  <si>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</si>
  <si>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</si>
  <si>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</si>
  <si>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</si>
  <si>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</si>
  <si>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</si>
  <si>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</si>
  <si>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</si>
  <si>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</si>
  <si>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</si>
  <si>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</si>
  <si>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</si>
  <si>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</si>
  <si>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</si>
  <si>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</si>
  <si>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</si>
  <si>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</si>
  <si>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</si>
  <si>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</si>
  <si>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</si>
  <si>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</si>
  <si>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</si>
  <si>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</si>
  <si>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</si>
  <si>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</si>
  <si>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</si>
  <si>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</si>
  <si>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</si>
  <si>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</si>
  <si>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</si>
  <si>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</si>
  <si>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</si>
  <si>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</si>
  <si>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</si>
  <si>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</si>
  <si>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</si>
  <si>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</si>
  <si>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</si>
  <si>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</si>
  <si>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</si>
  <si>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</si>
  <si>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</si>
  <si>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</si>
  <si>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</si>
  <si>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</si>
  <si>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</si>
  <si>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</si>
  <si>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</si>
  <si>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</si>
  <si>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</si>
  <si>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</si>
  <si>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</si>
  <si>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</si>
  <si>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</si>
  <si>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</si>
  <si>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</si>
  <si>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</si>
  <si>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</si>
  <si>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</si>
  <si>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</si>
  <si>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</si>
  <si>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</si>
  <si>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</si>
  <si>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</si>
  <si>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</si>
  <si>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</si>
  <si>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</si>
  <si>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</si>
  <si>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</si>
  <si>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</si>
  <si>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</si>
  <si>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</si>
  <si>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</si>
  <si>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</si>
  <si>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</si>
  <si>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</si>
  <si>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</si>
  <si>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</si>
  <si>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</si>
  <si>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</si>
  <si>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</si>
  <si>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</si>
  <si>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</si>
  <si>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</si>
  <si>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</si>
  <si>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</si>
  <si>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</si>
  <si>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</si>
  <si>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</si>
  <si>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</si>
  <si>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</si>
  <si>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</si>
  <si>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</si>
  <si>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</si>
  <si>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</si>
  <si>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</si>
  <si>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</si>
  <si>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</si>
  <si>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</si>
  <si>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</si>
  <si>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</si>
  <si>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</si>
  <si>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</si>
  <si>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</si>
  <si>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</si>
  <si>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</si>
  <si>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</si>
  <si>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</si>
  <si>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</si>
  <si>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</si>
  <si>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</si>
  <si>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</si>
  <si>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</si>
  <si>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</si>
  <si>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</si>
  <si>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</si>
  <si>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</si>
  <si>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</si>
  <si>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</si>
  <si>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</si>
  <si>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</si>
  <si>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</si>
  <si>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</si>
  <si>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</si>
  <si>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</si>
  <si>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</si>
  <si>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</si>
  <si>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</si>
  <si>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</si>
  <si>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</si>
  <si>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</si>
  <si>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</si>
  <si>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</si>
  <si>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</si>
  <si>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</si>
  <si>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</si>
  <si>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</si>
  <si>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</si>
  <si>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</si>
  <si>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</si>
  <si>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</si>
  <si>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</si>
  <si>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</si>
  <si>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</si>
  <si>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</si>
  <si>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</si>
  <si>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</si>
  <si>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</si>
  <si>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</si>
  <si>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</si>
  <si>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</si>
  <si>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</si>
  <si>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</si>
  <si>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</si>
  <si>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</si>
  <si>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</si>
  <si>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</si>
  <si>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</si>
  <si>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</si>
  <si>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</si>
  <si>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</si>
  <si>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</si>
  <si>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</si>
  <si>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</si>
  <si>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</si>
  <si>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</si>
  <si>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</si>
  <si>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</si>
  <si>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</si>
  <si>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</si>
  <si>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</si>
  <si>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</si>
  <si>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</si>
  <si>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</si>
  <si>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</si>
  <si>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</si>
  <si>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</si>
  <si>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</si>
  <si>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</si>
  <si>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</si>
  <si>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</si>
  <si>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</si>
  <si>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</si>
  <si>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</si>
  <si>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</si>
  <si>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</si>
  <si>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</si>
  <si>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</si>
  <si>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</si>
  <si>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</si>
  <si>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</si>
  <si>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</si>
  <si>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</si>
  <si>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</si>
  <si>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</si>
  <si>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</si>
  <si>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</si>
  <si>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</si>
  <si>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</si>
  <si>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</si>
  <si>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</si>
  <si>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</si>
  <si>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</si>
  <si>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</si>
  <si>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</si>
  <si>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</si>
  <si>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</si>
  <si>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</si>
  <si>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</si>
  <si>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</si>
  <si>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</si>
  <si>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</si>
  <si>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</si>
  <si>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</si>
  <si>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</si>
  <si>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</si>
  <si>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</si>
  <si>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</si>
  <si>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</si>
  <si>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</si>
  <si>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</si>
  <si>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</si>
  <si>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</si>
  <si>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</si>
  <si>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</si>
  <si>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</si>
  <si>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</si>
  <si>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</si>
  <si>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</si>
  <si>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</si>
  <si>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</si>
  <si>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</si>
  <si>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</si>
  <si>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</si>
  <si>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</si>
  <si>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</si>
  <si>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</si>
  <si>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</si>
  <si>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</si>
  <si>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</si>
  <si>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</si>
  <si>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</si>
  <si>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</si>
  <si>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</si>
  <si>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</si>
  <si>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</si>
  <si>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</si>
  <si>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</si>
  <si>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</si>
  <si>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</si>
  <si>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</si>
  <si>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</si>
  <si>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</si>
  <si>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</si>
  <si>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</si>
  <si>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</si>
  <si>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</si>
  <si>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</si>
  <si>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</si>
  <si>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</si>
  <si>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</si>
  <si>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</si>
  <si>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</si>
  <si>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</si>
  <si>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</si>
  <si>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</si>
  <si>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</si>
  <si>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</si>
  <si>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</si>
  <si>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</si>
  <si>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</si>
  <si>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</si>
  <si>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</si>
  <si>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</si>
  <si>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</si>
  <si>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</si>
  <si>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</si>
  <si>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</si>
  <si>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</si>
  <si>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</si>
  <si>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</si>
  <si>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</si>
  <si>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</si>
  <si>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</si>
  <si>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</si>
  <si>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</si>
  <si>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</si>
  <si>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</si>
  <si>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</si>
  <si>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</si>
  <si>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</si>
  <si>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</si>
  <si>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</si>
  <si>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</si>
  <si>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</si>
  <si>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</si>
  <si>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</si>
  <si>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</si>
  <si>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</si>
  <si>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</si>
  <si>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</si>
  <si>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</si>
  <si>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</si>
  <si>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</si>
  <si>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</si>
  <si>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</si>
  <si>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</si>
  <si>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</si>
  <si>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</si>
  <si>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</si>
  <si>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</si>
  <si>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</si>
  <si>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</si>
  <si>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</si>
  <si>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</si>
  <si>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</si>
  <si>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</si>
  <si>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</si>
  <si>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</si>
  <si>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</si>
  <si>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</si>
  <si>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</si>
  <si>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</si>
  <si>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</si>
  <si>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</si>
  <si>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</si>
  <si>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</si>
  <si>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</si>
  <si>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</si>
  <si>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</si>
  <si>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</si>
  <si>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</si>
  <si>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</si>
  <si>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</si>
  <si>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</si>
  <si>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</si>
  <si>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</si>
  <si>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</si>
  <si>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</si>
  <si>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</si>
  <si>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</si>
  <si>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</si>
  <si>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</si>
  <si>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</si>
  <si>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</si>
  <si>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</si>
  <si>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</si>
  <si>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</si>
  <si>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</si>
  <si>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</si>
  <si>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</si>
  <si>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</si>
  <si>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</si>
  <si>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</si>
  <si>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</si>
  <si>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</si>
  <si>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</si>
  <si>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</si>
  <si>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</si>
  <si>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</si>
  <si>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</si>
  <si>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</si>
  <si>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</si>
  <si>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</si>
  <si>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</si>
  <si>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</si>
  <si>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</si>
  <si>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</si>
  <si>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</si>
  <si>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</si>
  <si>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</si>
  <si>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</si>
  <si>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</si>
  <si>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</si>
  <si>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</si>
  <si>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</si>
  <si>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</si>
  <si>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</si>
  <si>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</si>
  <si>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</si>
  <si>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</si>
  <si>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</si>
  <si>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</si>
  <si>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</si>
  <si>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</si>
  <si>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</si>
  <si>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</si>
  <si>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</si>
  <si>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</si>
  <si>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</si>
  <si>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</si>
  <si>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</si>
  <si>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</si>
  <si>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</si>
  <si>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</si>
  <si>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</si>
  <si>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</si>
  <si>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</si>
  <si>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</si>
  <si>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</si>
  <si>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</si>
  <si>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</si>
  <si>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</si>
  <si>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</si>
  <si>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</si>
  <si>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</si>
  <si>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</si>
  <si>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</si>
  <si>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</si>
  <si>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</si>
  <si>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</si>
  <si>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</si>
  <si>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</si>
  <si>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</si>
  <si>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</si>
  <si>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</si>
  <si>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</si>
  <si>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</si>
  <si>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</si>
  <si>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</si>
  <si>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</si>
  <si>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</si>
  <si>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</si>
  <si>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</si>
  <si>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</si>
  <si>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</si>
  <si>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</si>
  <si>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</si>
  <si>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</si>
  <si>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</si>
  <si>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</si>
  <si>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</si>
  <si>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</si>
  <si>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</si>
  <si>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</si>
  <si>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</si>
  <si>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</si>
  <si>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</si>
  <si>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</si>
  <si>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</si>
  <si>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</si>
  <si>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</si>
  <si>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</si>
  <si>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</si>
  <si>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</si>
  <si>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</si>
  <si>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</si>
  <si>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</si>
  <si>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</si>
  <si>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</si>
  <si>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</si>
  <si>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</si>
  <si>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</si>
  <si>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</si>
  <si>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</si>
  <si>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</si>
  <si>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</si>
  <si>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</si>
  <si>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</si>
  <si>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</si>
  <si>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</si>
  <si>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</si>
  <si>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</si>
  <si>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</si>
  <si>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</si>
  <si>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</si>
  <si>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</si>
  <si>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</si>
  <si>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</si>
  <si>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</si>
  <si>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</si>
  <si>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</si>
  <si>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</si>
  <si>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</si>
  <si>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</si>
  <si>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</si>
  <si>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</si>
  <si>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</si>
  <si>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</si>
  <si>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</si>
  <si>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</si>
  <si>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</si>
  <si>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</si>
  <si>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</si>
  <si>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</si>
  <si>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</si>
  <si>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</si>
  <si>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</si>
  <si>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</si>
  <si>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</si>
  <si>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</si>
  <si>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</si>
  <si>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</si>
  <si>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</si>
  <si>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</si>
  <si>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</si>
  <si>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</si>
  <si>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</si>
  <si>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</si>
  <si>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</si>
  <si>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</si>
  <si>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</si>
  <si>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</si>
  <si>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</si>
  <si>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</si>
  <si>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</si>
  <si>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</si>
  <si>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</si>
  <si>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</si>
  <si>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</si>
  <si>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</si>
  <si>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</si>
  <si>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</si>
  <si>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</si>
  <si>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</si>
  <si>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</si>
  <si>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</si>
  <si>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</si>
  <si>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</si>
  <si>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</si>
  <si>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</si>
  <si>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</si>
  <si>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</si>
  <si>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</si>
  <si>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</si>
  <si>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</si>
  <si>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</si>
  <si>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</si>
  <si>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</si>
  <si>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</si>
  <si>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</si>
  <si>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</si>
  <si>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</si>
  <si>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</si>
  <si>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</si>
  <si>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</si>
  <si>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</si>
  <si>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</si>
  <si>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</si>
  <si>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</si>
  <si>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</si>
  <si>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</si>
  <si>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</si>
  <si>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</si>
  <si>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</si>
  <si>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</si>
  <si>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</si>
  <si>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</si>
  <si>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</si>
  <si>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</si>
  <si>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</si>
  <si>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</si>
  <si>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</si>
  <si>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</si>
  <si>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</si>
  <si>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</si>
  <si>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</si>
  <si>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</si>
  <si>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</si>
  <si>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</si>
  <si>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</si>
  <si>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</si>
  <si>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</si>
  <si>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</si>
  <si>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</si>
  <si>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</si>
  <si>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</si>
  <si>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</si>
  <si>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</si>
  <si>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</si>
  <si>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</si>
  <si>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</si>
  <si>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</si>
  <si>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</si>
  <si>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</si>
  <si>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</si>
  <si>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</si>
  <si>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</si>
  <si>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</si>
  <si>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</si>
  <si>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</si>
  <si>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</si>
  <si>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</si>
  <si>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</si>
  <si>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</si>
  <si>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</si>
  <si>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</si>
  <si>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</si>
  <si>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</si>
  <si>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</si>
  <si>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</si>
  <si>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</si>
  <si>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</si>
  <si>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</si>
  <si>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</si>
  <si>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</si>
  <si>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</si>
  <si>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</si>
  <si>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</si>
  <si>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</si>
  <si>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</si>
  <si>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</si>
  <si>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</si>
  <si>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</si>
  <si>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</si>
  <si>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</si>
  <si>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</si>
  <si>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</si>
  <si>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</si>
  <si>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</si>
  <si>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</si>
  <si>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</si>
  <si>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</si>
  <si>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</si>
  <si>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</si>
  <si>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</si>
  <si>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</si>
  <si>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</si>
  <si>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</si>
  <si>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</si>
  <si>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</si>
  <si>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</si>
  <si>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</si>
  <si>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</si>
  <si>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</si>
  <si>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</si>
  <si>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</si>
  <si>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</si>
  <si>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</si>
  <si>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</si>
  <si>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</si>
  <si>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</si>
  <si>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</si>
  <si>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</si>
  <si>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</si>
  <si>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</si>
  <si>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</si>
  <si>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</si>
  <si>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</si>
  <si>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</si>
  <si>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</si>
  <si>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</si>
  <si>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</si>
  <si>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</si>
  <si>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</si>
  <si>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</si>
  <si>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</si>
  <si>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</si>
  <si>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</si>
  <si>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</si>
  <si>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</si>
  <si>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</si>
  <si>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</si>
  <si>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</si>
  <si>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</si>
  <si>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</si>
  <si>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</si>
  <si>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</si>
  <si>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</si>
  <si>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</si>
  <si>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</si>
  <si>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</si>
  <si>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</si>
  <si>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</si>
  <si>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</si>
  <si>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</si>
  <si>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</si>
  <si>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</si>
  <si>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</si>
  <si>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</si>
  <si>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</si>
  <si>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</si>
  <si>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</si>
  <si>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</si>
  <si>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</si>
  <si>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</si>
  <si>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</si>
  <si>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</si>
  <si>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</si>
  <si>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</si>
  <si>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</si>
  <si>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</si>
  <si>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</si>
  <si>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</si>
  <si>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</si>
  <si>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</si>
  <si>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</si>
  <si>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</si>
  <si>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</si>
  <si>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</si>
  <si>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</si>
  <si>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</si>
  <si>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</si>
  <si>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</si>
  <si>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</si>
  <si>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</si>
  <si>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</si>
  <si>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</si>
  <si>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</si>
  <si>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</si>
  <si>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</si>
  <si>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</si>
  <si>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</si>
  <si>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</si>
  <si>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</si>
  <si>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</si>
  <si>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</si>
  <si>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</si>
  <si>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</si>
  <si>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</si>
  <si>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</si>
  <si>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</si>
  <si>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</si>
  <si>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</si>
  <si>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</si>
  <si>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</si>
  <si>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</si>
  <si>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</si>
  <si>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</si>
  <si>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</si>
  <si>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</si>
  <si>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</si>
  <si>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</si>
  <si>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</si>
  <si>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</si>
  <si>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</si>
  <si>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</si>
  <si>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</si>
  <si>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</si>
  <si>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</si>
  <si>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</si>
  <si>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</si>
  <si>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</si>
  <si>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</si>
  <si>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</si>
  <si>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</si>
  <si>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</si>
  <si>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</si>
  <si>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</si>
  <si>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</si>
  <si>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</si>
  <si>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</si>
  <si>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</si>
  <si>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</si>
  <si>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</si>
  <si>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</si>
  <si>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</si>
  <si>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</si>
  <si>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</si>
  <si>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</si>
  <si>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</si>
  <si>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</si>
  <si>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</si>
  <si>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</si>
  <si>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</si>
  <si>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</si>
  <si>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</si>
  <si>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</si>
  <si>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</si>
  <si>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</si>
  <si>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</si>
  <si>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</si>
  <si>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</si>
  <si>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</si>
  <si>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</si>
  <si>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</si>
  <si>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</si>
  <si>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</si>
  <si>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</si>
  <si>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</si>
  <si>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</si>
  <si>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</si>
  <si>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</si>
  <si>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</si>
  <si>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</si>
  <si>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</si>
  <si>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</si>
  <si>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</si>
  <si>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</si>
  <si>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</si>
  <si>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</si>
  <si>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</si>
  <si>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</si>
  <si>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</si>
  <si>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</si>
  <si>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</si>
  <si>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</si>
  <si>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</si>
  <si>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</si>
  <si>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</si>
  <si>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</si>
  <si>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</si>
  <si>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</si>
  <si>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</si>
  <si>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</si>
  <si>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</si>
  <si>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</si>
  <si>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</si>
  <si>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</si>
  <si>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</si>
  <si>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</si>
  <si>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</si>
  <si>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</si>
  <si>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</si>
  <si>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</si>
  <si>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</si>
  <si>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</si>
  <si>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</si>
  <si>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</si>
  <si>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</si>
  <si>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</si>
  <si>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</si>
  <si>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</si>
  <si>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</si>
  <si>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</si>
  <si>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</si>
  <si>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</si>
  <si>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</si>
  <si>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</si>
  <si>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</si>
  <si>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</si>
  <si>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</si>
  <si>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</si>
  <si>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</si>
  <si>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</si>
  <si>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</si>
  <si>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</si>
  <si>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</si>
  <si>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</si>
  <si>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</si>
  <si>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</si>
  <si>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</si>
  <si>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</si>
  <si>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</si>
  <si>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</si>
  <si>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</si>
  <si>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</si>
  <si>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</si>
  <si>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</si>
  <si>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</si>
  <si>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</si>
  <si>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</si>
  <si>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</si>
  <si>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</si>
  <si>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</si>
  <si>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</si>
  <si>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</si>
  <si>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</si>
  <si>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</si>
  <si>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</si>
  <si>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</si>
  <si>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</si>
  <si>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</si>
  <si>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</si>
  <si>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</si>
  <si>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</si>
  <si>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</si>
  <si>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</si>
  <si>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</si>
  <si>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</si>
  <si>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</si>
  <si>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</si>
  <si>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</si>
  <si>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</si>
  <si>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</si>
  <si>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</si>
  <si>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</si>
  <si>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</si>
  <si>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</si>
  <si>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</si>
  <si>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</si>
  <si>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</si>
  <si>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</si>
  <si>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</si>
  <si>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</si>
  <si>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</si>
  <si>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</si>
  <si>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</si>
  <si>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</si>
  <si>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</si>
  <si>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</si>
  <si>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</si>
  <si>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</si>
  <si>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</si>
  <si>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</si>
  <si>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</si>
  <si>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</si>
  <si>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</si>
  <si>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</si>
  <si>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</si>
  <si>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</si>
  <si>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</si>
  <si>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</si>
  <si>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</si>
  <si>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</si>
  <si>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</si>
  <si>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</si>
  <si>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</si>
  <si>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</si>
  <si>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</si>
  <si>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</si>
  <si>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</si>
  <si>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</si>
  <si>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</si>
  <si>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</si>
  <si>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</si>
  <si>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</si>
  <si>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</si>
  <si>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</si>
  <si>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</si>
  <si>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</si>
  <si>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</si>
  <si>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</si>
  <si>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</si>
  <si>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</si>
  <si>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</si>
  <si>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</si>
  <si>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</si>
  <si>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</si>
  <si>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</si>
  <si>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</si>
  <si>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</si>
  <si>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</si>
  <si>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</si>
  <si>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</si>
  <si>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</si>
  <si>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</si>
  <si>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</si>
  <si>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</si>
  <si>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</si>
  <si>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</si>
  <si>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</si>
  <si>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</si>
  <si>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</si>
  <si>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</si>
  <si>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</si>
  <si>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</si>
  <si>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</si>
  <si>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</si>
  <si>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</si>
  <si>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</si>
  <si>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</si>
  <si>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</si>
  <si>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</si>
  <si>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</si>
  <si>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</si>
  <si>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</si>
  <si>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</si>
  <si>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</si>
  <si>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</si>
  <si>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</si>
  <si>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</si>
  <si>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</si>
  <si>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</si>
  <si>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</si>
  <si>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</si>
  <si>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</si>
  <si>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</si>
  <si>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</si>
  <si>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</si>
  <si>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</si>
  <si>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</si>
  <si>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</si>
  <si>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</si>
  <si>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</si>
  <si>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</si>
  <si>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</si>
  <si>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</si>
  <si>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</si>
  <si>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</si>
  <si>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</si>
  <si>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</si>
  <si>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</si>
  <si>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</si>
  <si>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</si>
  <si>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</si>
  <si>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</si>
  <si>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</si>
  <si>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</si>
  <si>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</si>
  <si>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</si>
  <si>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</si>
  <si>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</si>
  <si>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</si>
  <si>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</si>
  <si>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</si>
  <si>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</si>
  <si>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</si>
  <si>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</si>
  <si>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</si>
  <si>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</si>
  <si>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</si>
  <si>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</si>
  <si>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</si>
  <si>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</si>
  <si>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</si>
  <si>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</si>
  <si>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</si>
  <si>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</si>
  <si>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</si>
  <si>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</si>
  <si>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</si>
  <si>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</si>
  <si>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</si>
  <si>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</si>
  <si>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</si>
  <si>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</si>
  <si>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</si>
  <si>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</si>
  <si>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</si>
  <si>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</si>
  <si>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</si>
  <si>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</si>
  <si>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</si>
  <si>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</si>
  <si>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</si>
  <si>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</si>
  <si>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</si>
  <si>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</si>
  <si>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</si>
  <si>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</si>
  <si>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</si>
  <si>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</si>
  <si>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</si>
  <si>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</si>
  <si>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</si>
  <si>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</si>
  <si>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</si>
  <si>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</si>
  <si>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</si>
  <si>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</si>
  <si>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</si>
  <si>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</si>
  <si>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</si>
  <si>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</si>
  <si>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</si>
  <si>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</si>
  <si>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</si>
  <si>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</si>
  <si>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</si>
  <si>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</si>
  <si>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</si>
  <si>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</si>
  <si>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</si>
  <si>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</si>
  <si>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</si>
  <si>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</si>
  <si>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</si>
  <si>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</si>
  <si>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</si>
  <si>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</si>
  <si>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</si>
  <si>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</si>
  <si>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</si>
  <si>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</si>
  <si>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</si>
  <si>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</si>
  <si>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</si>
  <si>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</si>
  <si>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</si>
  <si>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</si>
  <si>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</si>
  <si>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</si>
  <si>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</si>
  <si>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</si>
  <si>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</si>
  <si>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</si>
  <si>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</si>
  <si>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</si>
  <si>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</si>
  <si>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</si>
  <si>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</si>
  <si>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</si>
  <si>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</si>
  <si>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</si>
  <si>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</si>
  <si>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</si>
  <si>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</si>
  <si>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</si>
  <si>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</si>
  <si>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</si>
  <si>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</si>
  <si>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</si>
  <si>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</si>
  <si>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</si>
  <si>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</si>
  <si>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</si>
  <si>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</si>
  <si>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</si>
  <si>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</si>
  <si>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</si>
  <si>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</si>
  <si>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</si>
  <si>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</si>
  <si>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</si>
  <si>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</si>
  <si>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</si>
  <si>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</si>
  <si>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</si>
  <si>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</si>
  <si>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</si>
  <si>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</si>
  <si>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</si>
  <si>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</si>
  <si>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</si>
  <si>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</si>
  <si>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</si>
  <si>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</si>
  <si>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</si>
  <si>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</si>
  <si>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</si>
  <si>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</si>
  <si>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</si>
  <si>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</si>
  <si>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</si>
  <si>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</si>
  <si>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</si>
  <si>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</si>
  <si>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</si>
  <si>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</si>
  <si>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</si>
  <si>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</si>
  <si>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</si>
  <si>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</si>
  <si>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</si>
  <si>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</si>
  <si>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</si>
  <si>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</si>
  <si>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</si>
  <si>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</si>
  <si>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</si>
  <si>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</si>
  <si>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</si>
  <si>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</si>
  <si>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</si>
  <si>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</si>
  <si>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</si>
  <si>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</si>
  <si>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</si>
  <si>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</si>
  <si>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</si>
  <si>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</si>
  <si>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</si>
  <si>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</si>
  <si>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</si>
  <si>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</si>
  <si>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</si>
  <si>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</si>
  <si>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</si>
  <si>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</si>
  <si>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</si>
  <si>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</si>
  <si>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</si>
  <si>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</si>
  <si>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</si>
  <si>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</si>
  <si>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</si>
  <si>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</si>
  <si>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</si>
  <si>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</si>
  <si>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</si>
  <si>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</si>
  <si>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</si>
  <si>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</si>
  <si>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</si>
  <si>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</si>
  <si>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</si>
  <si>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</si>
  <si>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</si>
  <si>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</si>
  <si>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</si>
  <si>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</si>
  <si>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</si>
  <si>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</si>
  <si>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</si>
  <si>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</si>
  <si>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</si>
  <si>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</si>
  <si>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</si>
  <si>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</si>
  <si>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</si>
  <si>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</si>
  <si>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</si>
  <si>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</si>
  <si>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</si>
  <si>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</si>
  <si>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</si>
  <si>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</si>
  <si>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</si>
  <si>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</si>
  <si>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</si>
  <si>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</si>
  <si>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</si>
  <si>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</si>
  <si>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</si>
  <si>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</si>
  <si>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</si>
  <si>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</si>
  <si>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</si>
  <si>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</si>
  <si>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</si>
  <si>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</si>
  <si>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</si>
  <si>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</si>
  <si>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</si>
  <si>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</si>
  <si>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</si>
  <si>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</si>
  <si>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</si>
  <si>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</si>
  <si>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</si>
  <si>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</si>
  <si>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</si>
  <si>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</si>
  <si>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</si>
  <si>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</si>
  <si>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</si>
  <si>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</si>
  <si>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</si>
  <si>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</si>
  <si>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</si>
  <si>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</si>
  <si>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</si>
  <si>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</si>
  <si>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</si>
  <si>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</si>
  <si>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</si>
  <si>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</si>
  <si>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</si>
  <si>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</si>
  <si>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</si>
  <si>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</si>
  <si>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</si>
  <si>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</si>
  <si>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</si>
  <si>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</si>
  <si>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</si>
  <si>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</si>
  <si>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</si>
  <si>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</si>
  <si>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</si>
  <si>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</si>
  <si>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</si>
  <si>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</si>
  <si>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</si>
  <si>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</si>
  <si>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</si>
  <si>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</si>
  <si>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</si>
  <si>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</si>
  <si>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</si>
  <si>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</si>
  <si>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</si>
  <si>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</si>
  <si>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</si>
  <si>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</si>
  <si>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</si>
  <si>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</si>
  <si>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</si>
  <si>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</si>
  <si>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</si>
  <si>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</si>
  <si>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</si>
  <si>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</si>
  <si>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</si>
  <si>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</si>
  <si>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</si>
  <si>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</si>
  <si>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</si>
  <si>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</si>
  <si>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</si>
  <si>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</si>
  <si>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</si>
  <si>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</si>
  <si>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</si>
  <si>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</si>
  <si>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</si>
  <si>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</si>
  <si>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</si>
  <si>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</si>
  <si>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</si>
  <si>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</si>
  <si>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</si>
  <si>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</si>
  <si>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</si>
  <si>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</si>
  <si>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</si>
  <si>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</si>
  <si>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</si>
  <si>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</si>
  <si>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</si>
  <si>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</si>
  <si>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</si>
  <si>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</si>
  <si>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</si>
  <si>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</si>
  <si>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</si>
  <si>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</si>
  <si>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</si>
  <si>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</si>
  <si>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</si>
  <si>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</si>
  <si>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</si>
  <si>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</si>
  <si>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</si>
  <si>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</si>
  <si>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</si>
  <si>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</si>
  <si>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</si>
  <si>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</si>
  <si>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</si>
  <si>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</si>
  <si>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</si>
  <si>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</si>
  <si>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</si>
  <si>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</si>
  <si>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</si>
  <si>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</si>
  <si>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</si>
  <si>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</si>
  <si>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</si>
  <si>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</si>
  <si>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</si>
  <si>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</si>
  <si>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</si>
  <si>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</si>
  <si>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</si>
  <si>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</si>
  <si>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</si>
  <si>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</si>
  <si>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</si>
  <si>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</si>
  <si>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</si>
  <si>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</si>
  <si>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</si>
  <si>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</si>
  <si>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</si>
  <si>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</si>
  <si>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</si>
  <si>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</si>
  <si>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</si>
  <si>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</si>
  <si>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</si>
  <si>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</si>
  <si>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</si>
  <si>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</si>
  <si>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</si>
  <si>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</si>
  <si>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</si>
  <si>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</si>
  <si>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</si>
  <si>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</si>
  <si>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</si>
  <si>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</si>
  <si>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</si>
  <si>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</si>
  <si>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</si>
  <si>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</si>
  <si>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</si>
  <si>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</si>
  <si>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</si>
  <si>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</si>
  <si>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</si>
  <si>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</si>
  <si>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</si>
  <si>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</si>
  <si>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</si>
  <si>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</si>
  <si>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</si>
  <si>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</si>
  <si>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</si>
  <si>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</si>
  <si>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</si>
  <si>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</si>
  <si>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</si>
  <si>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</si>
  <si>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</si>
  <si>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</si>
  <si>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</si>
  <si>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</si>
  <si>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</si>
  <si>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</si>
  <si>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</si>
  <si>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</si>
  <si>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</si>
  <si>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</si>
  <si>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</si>
  <si>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</si>
  <si>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</si>
  <si>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</si>
  <si>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</si>
  <si>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</si>
  <si>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</si>
  <si>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</si>
  <si>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</si>
  <si>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</si>
  <si>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</si>
  <si>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</si>
  <si>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</si>
  <si>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</si>
  <si>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</si>
  <si>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</si>
  <si>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</si>
  <si>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</si>
  <si>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</si>
  <si>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</si>
  <si>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</si>
  <si>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</si>
  <si>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</si>
  <si>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</si>
  <si>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</si>
  <si>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</si>
  <si>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</si>
  <si>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</si>
  <si>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</si>
  <si>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</si>
  <si>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</si>
  <si>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</si>
  <si>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</si>
  <si>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</si>
  <si>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</si>
  <si>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</si>
  <si>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</si>
  <si>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</si>
  <si>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</si>
  <si>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</si>
  <si>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</si>
  <si>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</si>
  <si>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</si>
  <si>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</si>
  <si>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</si>
  <si>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</si>
  <si>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</si>
  <si>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</si>
  <si>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</si>
  <si>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</si>
  <si>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</si>
  <si>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</si>
  <si>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</si>
  <si>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</si>
  <si>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</si>
  <si>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</si>
  <si>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</si>
  <si>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</si>
  <si>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</si>
  <si>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</si>
  <si>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</si>
  <si>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</si>
  <si>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</si>
  <si>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</si>
  <si>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</si>
  <si>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</si>
  <si>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</si>
  <si>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</si>
  <si>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</si>
  <si>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</si>
  <si>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</si>
  <si>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</si>
  <si>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</si>
  <si>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</si>
  <si>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</si>
  <si>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</si>
  <si>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</si>
  <si>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</si>
  <si>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</si>
  <si>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</si>
  <si>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</si>
  <si>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</si>
  <si>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</si>
  <si>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</si>
  <si>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</si>
  <si>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</si>
  <si>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</si>
  <si>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</si>
  <si>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</si>
  <si>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</si>
  <si>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</si>
  <si>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</si>
  <si>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</si>
  <si>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</si>
  <si>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</si>
  <si>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</si>
  <si>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</si>
  <si>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</si>
  <si>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</si>
  <si>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</si>
  <si>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</si>
  <si>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</si>
  <si>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</si>
  <si>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</si>
  <si>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</si>
  <si>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</si>
  <si>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</si>
  <si>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</si>
  <si>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</si>
  <si>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</si>
  <si>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</si>
  <si>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</si>
  <si>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</si>
  <si>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</si>
  <si>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</si>
  <si>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</si>
  <si>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</si>
  <si>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</si>
  <si>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</si>
  <si>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</si>
  <si>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</si>
  <si>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</si>
  <si>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</si>
  <si>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</si>
  <si>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</si>
  <si>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</si>
  <si>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</si>
  <si>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</si>
  <si>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</si>
  <si>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</si>
  <si>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</si>
  <si>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</si>
  <si>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</si>
  <si>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</si>
  <si>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</si>
  <si>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</si>
  <si>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</si>
  <si>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</si>
  <si>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</si>
  <si>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</si>
  <si>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</si>
  <si>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</si>
  <si>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</si>
  <si>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</si>
  <si>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</si>
  <si>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</si>
  <si>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</si>
  <si>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</si>
  <si>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</si>
  <si>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</si>
  <si>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</si>
  <si>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</si>
  <si>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</si>
  <si>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</si>
  <si>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</si>
  <si>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</si>
  <si>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</si>
  <si>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</si>
  <si>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</si>
  <si>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</si>
  <si>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</si>
  <si>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</si>
  <si>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</si>
  <si>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</si>
  <si>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</si>
  <si>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</si>
  <si>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</si>
  <si>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</si>
  <si>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</si>
  <si>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</si>
  <si>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</si>
  <si>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</si>
  <si>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</si>
  <si>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</si>
  <si>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</si>
  <si>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</si>
  <si>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</si>
  <si>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</si>
  <si>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</si>
  <si>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</si>
  <si>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</si>
  <si>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</si>
  <si>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</si>
  <si>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</si>
  <si>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</si>
  <si>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</si>
  <si>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</si>
  <si>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</si>
  <si>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</si>
  <si>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</si>
  <si>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</si>
  <si>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</si>
  <si>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</si>
  <si>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</si>
  <si>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</si>
  <si>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</si>
  <si>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</si>
  <si>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</si>
  <si>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</si>
  <si>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</si>
  <si>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</si>
  <si>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</si>
  <si>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</si>
  <si>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</si>
  <si>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</si>
  <si>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</si>
  <si>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</si>
  <si>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</si>
  <si>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</si>
  <si>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</si>
  <si>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</si>
  <si>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</si>
  <si>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</si>
  <si>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</si>
  <si>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</si>
  <si>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</si>
  <si>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</si>
  <si>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</si>
  <si>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</si>
  <si>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</si>
  <si>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</si>
  <si>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</si>
  <si>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</si>
  <si>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</si>
  <si>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</si>
  <si>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</si>
  <si>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</si>
  <si>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</si>
  <si>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</si>
  <si>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</si>
  <si>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</si>
  <si>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</si>
  <si>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</si>
  <si>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</si>
  <si>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</si>
  <si>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</si>
  <si>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</si>
  <si>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</si>
  <si>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</si>
  <si>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</si>
  <si>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</si>
  <si>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</si>
  <si>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</si>
  <si>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</si>
  <si>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</si>
  <si>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</si>
  <si>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</si>
  <si>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</si>
  <si>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</si>
  <si>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</si>
  <si>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</si>
  <si>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</si>
  <si>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</si>
  <si>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</si>
  <si>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</si>
  <si>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</si>
  <si>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</si>
  <si>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</si>
  <si>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</si>
  <si>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</si>
  <si>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</si>
  <si>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</si>
  <si>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</si>
  <si>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</si>
  <si>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</si>
  <si>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</si>
  <si>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</si>
  <si>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</si>
  <si>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</si>
  <si>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</si>
  <si>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</si>
  <si>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</si>
  <si>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</si>
  <si>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</si>
  <si>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</si>
  <si>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</si>
  <si>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</si>
  <si>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</si>
  <si>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</si>
  <si>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</si>
  <si>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</si>
  <si>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</si>
  <si>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</si>
  <si>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</si>
  <si>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</si>
  <si>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</si>
  <si>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</si>
  <si>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</si>
  <si>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</si>
  <si>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</si>
  <si>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</si>
  <si>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</si>
  <si>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</si>
  <si>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</si>
  <si>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</si>
  <si>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</si>
  <si>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</si>
  <si>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</si>
  <si>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</si>
  <si>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</si>
  <si>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</si>
  <si>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</si>
  <si>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</si>
  <si>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</si>
  <si>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</si>
  <si>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</si>
  <si>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</si>
  <si>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</si>
  <si>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</si>
  <si>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</si>
  <si>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</si>
  <si>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</si>
  <si>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</si>
  <si>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</si>
  <si>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</si>
  <si>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</si>
  <si>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</si>
  <si>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</si>
  <si>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</si>
  <si>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</si>
  <si>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</si>
  <si>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</si>
  <si>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</si>
  <si>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</si>
  <si>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</si>
  <si>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</si>
  <si>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</si>
  <si>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</si>
  <si>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</si>
  <si>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</si>
  <si>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</si>
  <si>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</si>
  <si>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</si>
  <si>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</si>
  <si>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</si>
  <si>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</si>
  <si>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</si>
  <si>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</si>
  <si>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</si>
  <si>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</si>
  <si>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</si>
  <si>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</si>
  <si>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</si>
  <si>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</si>
  <si>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</si>
  <si>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</si>
  <si>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</si>
  <si>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</si>
  <si>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</si>
  <si>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</si>
  <si>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</si>
  <si>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</si>
  <si>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</si>
  <si>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</si>
  <si>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</si>
  <si>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</si>
  <si>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</si>
  <si>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</si>
  <si>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</si>
  <si>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</si>
  <si>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</si>
  <si>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</si>
  <si>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</si>
  <si>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</si>
  <si>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</si>
  <si>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</si>
  <si>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</si>
  <si>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</si>
  <si>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</si>
  <si>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</si>
  <si>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</si>
  <si>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</si>
  <si>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</si>
  <si>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</si>
  <si>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</si>
  <si>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</si>
  <si>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</si>
  <si>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</si>
  <si>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</si>
  <si>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</si>
  <si>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</si>
  <si>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</si>
  <si>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</si>
  <si>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</si>
  <si>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</si>
  <si>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</si>
  <si>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</si>
  <si>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</si>
  <si>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</si>
  <si>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</si>
  <si>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</si>
  <si>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</si>
  <si>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</si>
  <si>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</si>
  <si>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</si>
  <si>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</si>
  <si>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</si>
  <si>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</si>
  <si>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</si>
  <si>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</si>
  <si>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</si>
  <si>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</si>
  <si>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</si>
  <si>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</si>
  <si>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</si>
  <si>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</si>
  <si>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</si>
  <si>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</si>
  <si>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</si>
  <si>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</si>
  <si>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</si>
  <si>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</si>
  <si>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</si>
  <si>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</si>
  <si>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</si>
  <si>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</si>
  <si>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</si>
  <si>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</si>
  <si>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</si>
  <si>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</si>
  <si>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</si>
  <si>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</si>
  <si>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</si>
  <si>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</si>
  <si>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</si>
  <si>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</si>
  <si>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</si>
  <si>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</si>
  <si>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</si>
  <si>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</si>
  <si>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</si>
  <si>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</si>
  <si>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</si>
  <si>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</si>
  <si>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</si>
  <si>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</si>
  <si>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</si>
  <si>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</si>
  <si>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</si>
  <si>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</si>
  <si>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</si>
  <si>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</si>
  <si>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</si>
  <si>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</si>
  <si>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</si>
  <si>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</si>
  <si>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</si>
  <si>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</si>
  <si>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</si>
  <si>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</si>
  <si>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</si>
  <si>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</si>
  <si>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</si>
  <si>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</si>
  <si>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</si>
  <si>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</si>
  <si>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</si>
  <si>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</si>
  <si>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</si>
  <si>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</si>
  <si>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</si>
  <si>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</si>
  <si>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</si>
  <si>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</si>
  <si>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</si>
  <si>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</si>
  <si>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</si>
  <si>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</si>
  <si>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</si>
  <si>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</si>
  <si>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</si>
  <si>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</si>
  <si>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</si>
  <si>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</si>
  <si>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</si>
  <si>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</si>
  <si>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</si>
  <si>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</si>
  <si>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</si>
  <si>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</si>
  <si>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</si>
  <si>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</si>
  <si>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</si>
  <si>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</si>
  <si>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</si>
  <si>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</si>
  <si>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</si>
  <si>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</si>
  <si>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</si>
  <si>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</si>
  <si>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</si>
  <si>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</si>
  <si>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</si>
  <si>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</si>
  <si>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</si>
  <si>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</si>
  <si>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</si>
  <si>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</si>
  <si>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</si>
  <si>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</si>
  <si>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</si>
  <si>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</si>
  <si>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</si>
  <si>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</si>
  <si>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</si>
  <si>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</si>
  <si>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</si>
  <si>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</si>
  <si>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</si>
  <si>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</si>
  <si>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</si>
  <si>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</si>
  <si>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</si>
  <si>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</si>
  <si>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</si>
  <si>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</si>
  <si>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</si>
  <si>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</si>
  <si>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</si>
  <si>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</si>
  <si>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</si>
  <si>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</si>
  <si>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</si>
  <si>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</si>
  <si>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</si>
  <si>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</si>
  <si>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</si>
  <si>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</si>
  <si>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</si>
  <si>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</si>
  <si>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</si>
  <si>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</si>
  <si>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</si>
  <si>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</si>
  <si>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</si>
  <si>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</si>
  <si>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</si>
  <si>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</si>
  <si>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</si>
  <si>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</si>
  <si>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</si>
  <si>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</si>
  <si>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</si>
  <si>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</si>
  <si>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</si>
  <si>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</si>
  <si>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</si>
  <si>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</si>
  <si>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</si>
  <si>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</si>
  <si>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</si>
  <si>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</si>
  <si>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</si>
  <si>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</si>
  <si>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</si>
  <si>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</si>
  <si>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</si>
  <si>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</si>
  <si>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</si>
  <si>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</si>
  <si>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</si>
  <si>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</si>
  <si>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</si>
  <si>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</si>
  <si>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</si>
  <si>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</si>
  <si>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</si>
  <si>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</si>
  <si>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</si>
  <si>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</si>
  <si>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</si>
  <si>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</si>
  <si>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</si>
  <si>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</si>
  <si>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</si>
  <si>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</si>
  <si>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</si>
  <si>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</si>
  <si>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</si>
  <si>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</si>
  <si>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</si>
  <si>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</si>
  <si>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</si>
  <si>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</si>
  <si>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</si>
  <si>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</si>
  <si>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</si>
  <si>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</si>
  <si>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</si>
  <si>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</si>
  <si>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</si>
  <si>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</si>
  <si>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</si>
  <si>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</si>
  <si>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</si>
  <si>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</si>
  <si>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</si>
  <si>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</si>
  <si>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</si>
  <si>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</si>
  <si>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</si>
  <si>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</si>
  <si>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</si>
  <si>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</si>
  <si>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</si>
  <si>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</si>
  <si>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</si>
  <si>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</si>
  <si>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</si>
  <si>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</si>
  <si>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</si>
  <si>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</si>
  <si>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</si>
  <si>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</si>
  <si>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</si>
  <si>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</si>
  <si>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</si>
  <si>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</si>
  <si>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</si>
  <si>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</si>
  <si>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</si>
  <si>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</si>
  <si>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</si>
  <si>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</si>
  <si>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</si>
  <si>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</si>
  <si>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</si>
  <si>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</si>
  <si>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</si>
  <si>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</si>
  <si>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</si>
  <si>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</si>
  <si>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</si>
  <si>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</si>
  <si>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</si>
  <si>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</si>
  <si>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</si>
  <si>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</si>
  <si>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</si>
  <si>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</si>
  <si>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</si>
  <si>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</si>
  <si>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</si>
  <si>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</si>
  <si>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</si>
  <si>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</si>
  <si>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</si>
  <si>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</si>
  <si>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</si>
  <si>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</si>
  <si>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</si>
  <si>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</si>
  <si>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</si>
  <si>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</si>
  <si>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</si>
  <si>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</si>
  <si>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</si>
  <si>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</si>
  <si>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</si>
  <si>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</si>
  <si>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</si>
  <si>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</si>
  <si>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</si>
  <si>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</si>
  <si>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</si>
  <si>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</si>
  <si>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</si>
  <si>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</si>
  <si>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</si>
  <si>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</si>
  <si>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</si>
  <si>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</si>
  <si>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</si>
  <si>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</si>
  <si>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</si>
  <si>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</si>
  <si>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</si>
  <si>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</si>
  <si>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</si>
  <si>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</si>
  <si>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</si>
  <si>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</si>
  <si>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</si>
  <si>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</si>
  <si>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</si>
  <si>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</si>
  <si>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</si>
  <si>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</si>
  <si>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</si>
  <si>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</si>
  <si>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</si>
  <si>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</si>
  <si>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</si>
  <si>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</si>
  <si>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</si>
  <si>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</si>
  <si>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</si>
  <si>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</si>
  <si>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</si>
  <si>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</si>
  <si>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</si>
  <si>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</si>
  <si>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</si>
  <si>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</si>
  <si>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</si>
  <si>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</si>
  <si>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</si>
  <si>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</si>
  <si>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</si>
  <si>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</si>
  <si>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</si>
  <si>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</si>
  <si>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</si>
  <si>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</si>
  <si>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</si>
  <si>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</si>
  <si>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</si>
  <si>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</si>
  <si>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</si>
  <si>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</si>
  <si>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</si>
  <si>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</si>
  <si>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</si>
  <si>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</si>
  <si>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</si>
  <si>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</si>
  <si>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</si>
  <si>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</si>
  <si>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</si>
  <si>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</si>
  <si>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</si>
  <si>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</si>
  <si>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</si>
  <si>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</si>
  <si>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</si>
  <si>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</si>
  <si>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</si>
  <si>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</si>
  <si>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</si>
  <si>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</si>
  <si>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</si>
  <si>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</si>
  <si>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</si>
  <si>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</si>
  <si>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</si>
  <si>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</si>
  <si>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</si>
  <si>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</si>
  <si>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</si>
  <si>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</si>
  <si>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</si>
  <si>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</si>
  <si>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</si>
  <si>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</si>
  <si>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</si>
  <si>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</si>
  <si>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</si>
  <si>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</si>
  <si>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</si>
  <si>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</si>
  <si>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</si>
  <si>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</si>
  <si>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</si>
  <si>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</si>
  <si>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</si>
  <si>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</si>
  <si>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</si>
  <si>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</si>
  <si>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</si>
  <si>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</si>
  <si>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</si>
  <si>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</si>
  <si>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</si>
  <si>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</si>
  <si>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</si>
  <si>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</si>
  <si>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</si>
  <si>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</si>
  <si>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</si>
  <si>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</si>
  <si>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</si>
  <si>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</si>
  <si>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</si>
  <si>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</si>
  <si>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</si>
  <si>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</si>
  <si>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</si>
  <si>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</si>
  <si>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</si>
  <si>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</si>
  <si>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</si>
  <si>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</si>
  <si>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</si>
  <si>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</si>
  <si>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</si>
  <si>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</si>
  <si>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</si>
  <si>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</si>
  <si>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</si>
  <si>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</si>
  <si>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</si>
  <si>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</si>
  <si>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</si>
  <si>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</si>
  <si>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</si>
  <si>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</si>
  <si>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</si>
  <si>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</si>
  <si>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</si>
  <si>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</si>
  <si>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</si>
  <si>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</si>
  <si>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</si>
  <si>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</si>
  <si>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</si>
  <si>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</si>
  <si>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</si>
  <si>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</si>
  <si>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</si>
  <si>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</si>
  <si>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</si>
  <si>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</si>
  <si>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</si>
  <si>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</si>
  <si>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</si>
  <si>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</si>
  <si>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</si>
  <si>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</si>
  <si>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</si>
  <si>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</si>
  <si>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</si>
  <si>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</si>
  <si>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</si>
  <si>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</si>
  <si>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</si>
  <si>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</si>
  <si>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</si>
  <si>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</si>
  <si>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</si>
  <si>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</si>
  <si>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</si>
  <si>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</si>
  <si>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</si>
  <si>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</si>
  <si>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</si>
  <si>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</si>
  <si>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</si>
  <si>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</si>
  <si>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</si>
  <si>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</si>
  <si>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</si>
  <si>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</si>
  <si>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</si>
  <si>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</si>
  <si>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</si>
  <si>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</si>
  <si>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</si>
  <si>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</si>
  <si>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</si>
  <si>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</si>
  <si>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</si>
  <si>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</si>
  <si>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</si>
  <si>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</si>
  <si>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</si>
  <si>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</si>
  <si>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</si>
  <si>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</si>
  <si>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</si>
  <si>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</si>
  <si>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</si>
  <si>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</si>
  <si>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</si>
  <si>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</si>
  <si>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</si>
  <si>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</si>
  <si>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</si>
  <si>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</si>
  <si>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</si>
  <si>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</si>
  <si>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</si>
  <si>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</si>
  <si>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</si>
  <si>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</si>
  <si>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</si>
  <si>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</si>
  <si>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</si>
  <si>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</si>
  <si>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</si>
  <si>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</si>
  <si>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</si>
  <si>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</si>
  <si>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</si>
  <si>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</si>
  <si>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</si>
  <si>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</si>
  <si>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</si>
  <si>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</si>
  <si>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</si>
  <si>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</si>
  <si>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</si>
  <si>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</si>
  <si>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</si>
  <si>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</si>
  <si>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</si>
  <si>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</si>
  <si>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</si>
  <si>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</si>
  <si>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</si>
  <si>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</si>
  <si>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</si>
  <si>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</si>
  <si>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</si>
  <si>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</si>
  <si>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</si>
  <si>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</si>
  <si>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</si>
  <si>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</si>
  <si>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</si>
  <si>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</si>
  <si>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</si>
  <si>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</si>
  <si>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</si>
  <si>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</si>
  <si>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</si>
  <si>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</si>
  <si>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</si>
  <si>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</si>
  <si>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</si>
  <si>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</si>
  <si>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</si>
  <si>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</si>
  <si>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</si>
  <si>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</si>
  <si>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</si>
  <si>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</si>
  <si>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</si>
  <si>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</si>
  <si>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</si>
  <si>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</si>
  <si>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</si>
  <si>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</si>
  <si>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</si>
  <si>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</si>
  <si>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</si>
  <si>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</si>
  <si>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</si>
  <si>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</si>
  <si>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</si>
  <si>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</si>
  <si>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</si>
  <si>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</si>
  <si>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</si>
  <si>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</si>
  <si>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</si>
  <si>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</si>
  <si>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</si>
  <si>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</si>
  <si>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</si>
  <si>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</si>
  <si>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</si>
  <si>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</si>
  <si>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</si>
  <si>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</si>
  <si>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</si>
  <si>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</si>
  <si>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</si>
  <si>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</si>
  <si>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</si>
  <si>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</si>
  <si>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</si>
  <si>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</si>
  <si>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</si>
  <si>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</si>
  <si>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</si>
  <si>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</si>
  <si>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</si>
  <si>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</si>
  <si>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</si>
  <si>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</si>
  <si>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</si>
  <si>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</si>
  <si>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</si>
  <si>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</si>
  <si>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</si>
  <si>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</si>
  <si>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</si>
  <si>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</si>
  <si>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</si>
  <si>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</si>
  <si>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</si>
  <si>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</si>
  <si>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</si>
  <si>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</si>
  <si>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</si>
  <si>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</si>
  <si>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</si>
  <si>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</si>
  <si>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</si>
  <si>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</si>
  <si>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</si>
  <si>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</si>
  <si>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</si>
  <si>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</si>
  <si>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</si>
  <si>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</si>
  <si>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</si>
  <si>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</si>
  <si>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</si>
  <si>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</si>
  <si>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</si>
  <si>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</si>
  <si>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</si>
  <si>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</si>
  <si>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</si>
  <si>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</si>
  <si>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</si>
  <si>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</si>
  <si>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</si>
  <si>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</si>
  <si>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</si>
  <si>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</si>
  <si>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</si>
  <si>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</si>
  <si>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</si>
  <si>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</si>
  <si>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</si>
  <si>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</si>
  <si>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</si>
  <si>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</si>
  <si>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</si>
  <si>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</si>
  <si>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</si>
  <si>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</si>
  <si>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</si>
  <si>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</si>
  <si>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</si>
  <si>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</si>
  <si>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</si>
  <si>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</si>
  <si>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</si>
  <si>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</si>
  <si>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</si>
  <si>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</si>
  <si>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</si>
  <si>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</si>
  <si>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</si>
  <si>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</si>
  <si>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</si>
  <si>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</si>
  <si>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</si>
  <si>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</si>
  <si>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</si>
  <si>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</si>
  <si>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</si>
  <si>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</si>
  <si>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</si>
  <si>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</si>
  <si>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</si>
  <si>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</si>
  <si>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</si>
  <si>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</si>
  <si>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</si>
  <si>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</si>
  <si>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</si>
  <si>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</si>
  <si>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</si>
  <si>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</si>
  <si>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</si>
  <si>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</si>
  <si>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</si>
  <si>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</si>
  <si>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</si>
  <si>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</si>
  <si>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</si>
  <si>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</si>
  <si>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</si>
  <si>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</si>
  <si>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</si>
  <si>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</si>
  <si>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</si>
  <si>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</si>
  <si>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</si>
  <si>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</si>
  <si>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</si>
  <si>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</si>
  <si>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</si>
  <si>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</si>
  <si>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</si>
  <si>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</si>
  <si>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</si>
  <si>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</si>
  <si>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</si>
  <si>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</si>
  <si>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</si>
  <si>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</si>
  <si>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</si>
  <si>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</si>
  <si>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</si>
  <si>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</si>
  <si>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</si>
  <si>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</si>
  <si>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</si>
  <si>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</si>
  <si>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</si>
  <si>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</si>
  <si>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</si>
  <si>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</si>
  <si>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</si>
  <si>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</si>
  <si>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</si>
  <si>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</si>
  <si>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</si>
  <si>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</si>
  <si>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</si>
  <si>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</si>
  <si>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</si>
  <si>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</si>
  <si>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</si>
  <si>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</si>
  <si>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</si>
  <si>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</si>
  <si>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</si>
  <si>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</si>
  <si>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</si>
  <si>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</si>
  <si>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</si>
  <si>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</si>
  <si>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</si>
  <si>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</si>
  <si>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</si>
  <si>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</si>
  <si>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</si>
  <si>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</si>
  <si>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</si>
  <si>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</si>
  <si>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</si>
  <si>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</si>
  <si>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</si>
  <si>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</si>
  <si>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</si>
  <si>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</si>
  <si>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</si>
  <si>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</si>
  <si>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</si>
  <si>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</si>
  <si>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</si>
  <si>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</si>
  <si>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</si>
  <si>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</si>
  <si>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</si>
  <si>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</si>
  <si>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</si>
  <si>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</si>
  <si>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</si>
  <si>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</si>
  <si>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</si>
  <si>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</si>
  <si>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</si>
  <si>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</si>
  <si>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</si>
  <si>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</si>
  <si>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</si>
  <si>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</si>
  <si>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</si>
  <si>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</si>
  <si>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</si>
  <si>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</si>
  <si>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</si>
  <si>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</si>
  <si>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</si>
  <si>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</si>
  <si>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</si>
  <si>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</si>
  <si>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</si>
  <si>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</si>
  <si>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</si>
  <si>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</si>
  <si>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</si>
  <si>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</si>
  <si>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</si>
  <si>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</si>
  <si>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</si>
  <si>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</si>
  <si>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</si>
  <si>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</si>
  <si>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</si>
  <si>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</si>
  <si>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</si>
  <si>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</si>
  <si>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</si>
  <si>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</si>
  <si>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</si>
  <si>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</si>
  <si>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</si>
  <si>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</si>
  <si>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</si>
  <si>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</si>
  <si>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</si>
  <si>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</si>
  <si>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</si>
  <si>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</si>
  <si>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</si>
  <si>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</si>
  <si>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</si>
  <si>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</si>
  <si>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</si>
  <si>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</si>
  <si>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</si>
  <si>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</si>
  <si>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</si>
  <si>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</si>
  <si>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</si>
  <si>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</si>
  <si>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</si>
  <si>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</si>
  <si>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</si>
  <si>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</si>
  <si>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</si>
  <si>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</si>
  <si>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</si>
  <si>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</si>
  <si>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</si>
  <si>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</si>
  <si>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</si>
  <si>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</si>
  <si>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</si>
  <si>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</si>
  <si>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</si>
  <si>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</si>
  <si>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</si>
  <si>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</si>
  <si>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</si>
  <si>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</si>
  <si>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</si>
  <si>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</si>
  <si>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</si>
  <si>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</si>
  <si>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</si>
  <si>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</si>
  <si>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</si>
  <si>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</si>
  <si>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</si>
  <si>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</si>
  <si>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</si>
  <si>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</si>
  <si>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</si>
  <si>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</si>
  <si>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</si>
  <si>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</si>
  <si>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</si>
  <si>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</si>
  <si>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</si>
  <si>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</si>
  <si>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</si>
  <si>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</si>
  <si>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</si>
  <si>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</si>
  <si>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</si>
  <si>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</si>
  <si>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</si>
  <si>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</si>
  <si>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</si>
  <si>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</si>
  <si>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</si>
  <si>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</si>
  <si>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</si>
  <si>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</si>
  <si>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</si>
  <si>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</si>
  <si>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</si>
  <si>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</si>
  <si>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</si>
  <si>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</si>
  <si>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</si>
  <si>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</si>
  <si>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</si>
  <si>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</si>
  <si>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</si>
  <si>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</si>
  <si>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</si>
  <si>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</si>
  <si>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</si>
  <si>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</si>
  <si>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</si>
  <si>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</si>
  <si>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</si>
  <si>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</si>
  <si>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</si>
  <si>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</si>
  <si>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</si>
  <si>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</si>
  <si>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</si>
  <si>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</si>
  <si>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</si>
  <si>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</si>
  <si>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</si>
  <si>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</si>
  <si>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</si>
  <si>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</si>
  <si>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</si>
  <si>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</si>
  <si>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</si>
  <si>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</si>
  <si>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</si>
  <si>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</si>
  <si>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</si>
  <si>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</si>
  <si>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</si>
  <si>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</si>
  <si>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</si>
  <si>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</si>
  <si>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</si>
  <si>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</si>
  <si>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</si>
  <si>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</si>
  <si>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</si>
  <si>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</si>
  <si>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</si>
  <si>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</si>
  <si>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</si>
  <si>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</si>
  <si>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</si>
  <si>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</si>
  <si>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</si>
  <si>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</si>
  <si>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</si>
  <si>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</si>
  <si>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</si>
  <si>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</si>
  <si>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</si>
  <si>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</si>
  <si>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</si>
  <si>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</si>
  <si>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</si>
  <si>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</si>
  <si>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</si>
  <si>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</si>
  <si>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</si>
  <si>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</si>
  <si>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</si>
  <si>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</si>
  <si>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</si>
  <si>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</si>
  <si>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</si>
  <si>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</si>
  <si>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</si>
  <si>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</si>
  <si>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</si>
  <si>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</si>
  <si>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</si>
  <si>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</si>
  <si>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</si>
  <si>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</si>
  <si>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</si>
  <si>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</si>
  <si>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</si>
  <si>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</si>
  <si>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</si>
  <si>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</si>
  <si>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</si>
  <si>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</si>
  <si>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</si>
  <si>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</si>
  <si>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</si>
  <si>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</si>
  <si>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</si>
  <si>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</si>
  <si>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</si>
  <si>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</si>
  <si>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</si>
  <si>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</si>
  <si>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</si>
  <si>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</si>
  <si>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</si>
  <si>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</si>
  <si>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</si>
  <si>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</si>
  <si>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</si>
  <si>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</si>
  <si>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</si>
  <si>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</si>
  <si>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</si>
  <si>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</si>
  <si>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</si>
  <si>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</si>
  <si>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</si>
  <si>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</si>
  <si>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</si>
  <si>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</si>
  <si>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</si>
  <si>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</si>
  <si>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</si>
  <si>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</si>
  <si>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</si>
  <si>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</si>
  <si>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</si>
  <si>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</si>
  <si>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</si>
  <si>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</si>
  <si>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</si>
  <si>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</si>
  <si>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</si>
  <si>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</si>
  <si>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</si>
  <si>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</si>
  <si>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</si>
  <si>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</si>
  <si>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</si>
  <si>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</si>
  <si>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</si>
  <si>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</si>
  <si>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</si>
  <si>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</si>
  <si>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</si>
  <si>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</si>
  <si>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</si>
  <si>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</si>
  <si>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</si>
  <si>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</si>
  <si>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</si>
  <si>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</si>
  <si>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</si>
  <si>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</si>
  <si>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</si>
  <si>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</si>
  <si>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</si>
  <si>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</si>
  <si>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</si>
  <si>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</si>
  <si>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</si>
  <si>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</si>
  <si>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</si>
  <si>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</si>
  <si>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</si>
  <si>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</si>
  <si>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</si>
  <si>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</si>
  <si>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</si>
  <si>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</si>
  <si>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</si>
  <si>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</si>
  <si>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</si>
  <si>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</si>
  <si>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</si>
  <si>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</si>
  <si>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</si>
  <si>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</si>
  <si>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</si>
  <si>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</si>
  <si>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</si>
  <si>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</si>
  <si>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</si>
  <si>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</si>
  <si>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</si>
  <si>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</si>
  <si>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</si>
  <si>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</si>
  <si>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</si>
  <si>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</si>
  <si>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</si>
  <si>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</si>
  <si>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</si>
  <si>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</si>
  <si>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</si>
  <si>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</si>
  <si>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</si>
  <si>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</si>
  <si>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</si>
  <si>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</si>
  <si>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</si>
  <si>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</si>
  <si>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</si>
  <si>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</si>
  <si>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</si>
  <si>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</si>
  <si>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</si>
  <si>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</si>
  <si>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</si>
  <si>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</si>
  <si>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</si>
  <si>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</si>
  <si>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</si>
  <si>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</si>
  <si>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</si>
  <si>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</si>
  <si>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</si>
  <si>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</si>
  <si>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</si>
  <si>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</si>
  <si>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</si>
  <si>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</si>
  <si>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</si>
  <si>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</si>
  <si>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</si>
  <si>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</si>
  <si>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</si>
  <si>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</si>
  <si>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</si>
  <si>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</si>
  <si>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</si>
  <si>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</si>
  <si>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</si>
  <si>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</si>
  <si>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</si>
  <si>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</si>
  <si>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</si>
  <si>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</si>
  <si>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</si>
  <si>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</si>
  <si>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</si>
  <si>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</si>
  <si>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</si>
  <si>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</si>
  <si>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</si>
  <si>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</si>
  <si>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</si>
  <si>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</si>
  <si>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</si>
  <si>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</si>
  <si>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</si>
  <si>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</si>
  <si>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</si>
  <si>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</si>
  <si>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</si>
  <si>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</si>
  <si>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</si>
  <si>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</si>
  <si>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</si>
  <si>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</si>
  <si>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</si>
  <si>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</si>
  <si>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</si>
  <si>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</si>
  <si>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</si>
  <si>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</si>
  <si>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</si>
  <si>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</si>
  <si>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</si>
  <si>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</si>
  <si>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</si>
  <si>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</si>
  <si>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</si>
  <si>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</si>
  <si>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</si>
  <si>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</si>
  <si>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</si>
  <si>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</si>
  <si>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</si>
  <si>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</si>
  <si>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</si>
  <si>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</si>
  <si>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</si>
  <si>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</si>
  <si>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</si>
  <si>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</si>
  <si>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</si>
  <si>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</si>
  <si>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</si>
  <si>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</si>
  <si>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</si>
  <si>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</si>
  <si>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</si>
  <si>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</si>
  <si>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</si>
  <si>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</si>
  <si>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</si>
  <si>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</si>
  <si>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</si>
  <si>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</si>
  <si>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</si>
  <si>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</si>
  <si>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</si>
  <si>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</si>
  <si>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</si>
  <si>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</si>
  <si>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</si>
  <si>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</si>
  <si>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</si>
  <si>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</si>
  <si>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</si>
  <si>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</si>
  <si>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</si>
  <si>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</si>
  <si>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</si>
  <si>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</si>
  <si>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</si>
  <si>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</si>
  <si>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</si>
  <si>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</si>
  <si>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</si>
  <si>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</si>
  <si>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</si>
  <si>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</si>
  <si>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</si>
  <si>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</si>
  <si>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</si>
  <si>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</si>
  <si>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</si>
  <si>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</si>
  <si>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</si>
  <si>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</si>
  <si>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</si>
  <si>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</si>
  <si>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</si>
  <si>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</si>
  <si>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</si>
  <si>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</si>
  <si>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</si>
  <si>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</si>
  <si>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</si>
  <si>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</si>
  <si>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</si>
  <si>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</si>
  <si>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</si>
  <si>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</si>
  <si>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</si>
  <si>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</si>
  <si>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</si>
  <si>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</si>
  <si>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</si>
  <si>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</si>
  <si>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</si>
  <si>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</si>
  <si>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</si>
  <si>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</si>
  <si>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</si>
  <si>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</si>
  <si>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</si>
  <si>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</si>
  <si>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</si>
  <si>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</si>
  <si>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</si>
  <si>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</si>
  <si>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</si>
  <si>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</si>
  <si>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</si>
  <si>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</si>
  <si>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</si>
  <si>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</si>
  <si>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</si>
  <si>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</si>
  <si>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</si>
  <si>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</si>
  <si>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</si>
  <si>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</si>
  <si>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</si>
  <si>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</si>
  <si>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</si>
  <si>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</si>
  <si>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</si>
  <si>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</si>
  <si>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</si>
  <si>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</si>
  <si>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</si>
  <si>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</si>
  <si>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</si>
  <si>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</si>
  <si>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</si>
  <si>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</si>
  <si>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</si>
  <si>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</si>
  <si>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</si>
  <si>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</si>
  <si>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</si>
  <si>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</si>
  <si>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</si>
  <si>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</si>
  <si>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</si>
  <si>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</si>
  <si>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</si>
  <si>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</si>
  <si>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</si>
  <si>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</si>
  <si>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</si>
  <si>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</si>
  <si>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</si>
  <si>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</si>
  <si>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</si>
  <si>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</si>
  <si>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</si>
  <si>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</si>
  <si>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</si>
  <si>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</si>
  <si>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</si>
  <si>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</si>
  <si>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</si>
  <si>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</si>
  <si>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</si>
  <si>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</si>
  <si>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</si>
  <si>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</si>
  <si>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</si>
  <si>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</si>
  <si>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</si>
  <si>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</si>
  <si>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</si>
  <si>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</si>
  <si>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</si>
  <si>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</si>
  <si>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</si>
  <si>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</si>
  <si>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</si>
  <si>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</si>
  <si>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</si>
  <si>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</si>
  <si>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</si>
  <si>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</si>
  <si>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</si>
  <si>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</si>
  <si>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</si>
  <si>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</si>
  <si>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</si>
  <si>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</si>
  <si>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</si>
  <si>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</si>
  <si>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</si>
  <si>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</si>
  <si>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</si>
  <si>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</si>
  <si>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</si>
  <si>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</si>
  <si>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</si>
  <si>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</si>
  <si>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</si>
  <si>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</si>
  <si>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</si>
  <si>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</si>
  <si>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</si>
  <si>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</si>
  <si>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</si>
  <si>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</si>
  <si>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</si>
  <si>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</si>
  <si>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</si>
  <si>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</si>
  <si>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</si>
  <si>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</si>
  <si>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</si>
  <si>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</si>
  <si>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</si>
  <si>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</si>
  <si>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</si>
  <si>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</si>
  <si>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</si>
  <si>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</si>
  <si>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</si>
  <si>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</si>
  <si>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</si>
  <si>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</si>
  <si>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</si>
  <si>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</si>
  <si>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</si>
  <si>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</si>
  <si>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</si>
  <si>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</si>
  <si>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</si>
  <si>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</si>
  <si>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</si>
  <si>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</si>
  <si>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</si>
  <si>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</si>
  <si>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</si>
  <si>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</si>
  <si>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</si>
  <si>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</si>
  <si>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</si>
  <si>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</si>
  <si>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</si>
  <si>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</si>
  <si>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</si>
  <si>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</si>
  <si>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</si>
  <si>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</si>
  <si>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</si>
  <si>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</si>
  <si>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</si>
  <si>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</si>
  <si>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</si>
  <si>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</si>
  <si>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</si>
  <si>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</si>
  <si>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</si>
  <si>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</si>
  <si>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</si>
  <si>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</si>
  <si>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</si>
  <si>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</si>
  <si>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</si>
  <si>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</si>
  <si>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</si>
  <si>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</si>
  <si>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</si>
  <si>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</si>
  <si>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</si>
  <si>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</si>
  <si>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</si>
  <si>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</si>
  <si>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</si>
  <si>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</si>
  <si>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</si>
  <si>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</si>
  <si>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</si>
  <si>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</si>
  <si>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</si>
  <si>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</si>
  <si>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</si>
  <si>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</si>
  <si>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</si>
  <si>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</si>
  <si>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</si>
  <si>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</si>
  <si>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</si>
  <si>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</si>
  <si>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</si>
  <si>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</si>
  <si>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</si>
  <si>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</si>
  <si>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</si>
  <si>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</si>
  <si>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</si>
  <si>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</si>
  <si>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</si>
  <si>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</si>
  <si>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</si>
  <si>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</si>
  <si>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</si>
  <si>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</si>
  <si>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</si>
  <si>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</si>
  <si>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</si>
  <si>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</si>
  <si>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</si>
  <si>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</si>
  <si>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</si>
  <si>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</si>
  <si>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</si>
  <si>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</si>
  <si>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</si>
  <si>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</si>
  <si>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</si>
  <si>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</si>
  <si>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</si>
  <si>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</si>
  <si>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</si>
  <si>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</si>
  <si>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</si>
  <si>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</si>
  <si>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</si>
  <si>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</si>
  <si>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</si>
  <si>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</si>
  <si>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</si>
  <si>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</si>
  <si>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</si>
  <si>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</si>
  <si>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</si>
  <si>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</si>
  <si>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</si>
  <si>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</si>
  <si>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</si>
  <si>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</si>
  <si>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</si>
  <si>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</si>
  <si>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</si>
  <si>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</si>
  <si>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</si>
  <si>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</si>
  <si>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</si>
  <si>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</si>
  <si>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</si>
  <si>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</si>
  <si>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</si>
  <si>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</si>
  <si>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</si>
  <si>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</si>
  <si>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</si>
  <si>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</si>
  <si>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</si>
  <si>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</si>
  <si>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</si>
  <si>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</si>
  <si>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</si>
  <si>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</si>
  <si>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</si>
  <si>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</si>
  <si>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</si>
  <si>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</si>
  <si>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</si>
  <si>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</si>
  <si>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</si>
  <si>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</si>
  <si>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</si>
  <si>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</si>
  <si>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</si>
  <si>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</si>
  <si>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</si>
  <si>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</si>
  <si>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</si>
  <si>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</si>
  <si>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</si>
  <si>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</si>
  <si>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</si>
  <si>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</si>
  <si>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</si>
  <si>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</si>
  <si>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</si>
  <si>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</si>
  <si>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</si>
  <si>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</si>
  <si>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</si>
  <si>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</si>
  <si>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</si>
  <si>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</si>
  <si>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</si>
  <si>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</si>
  <si>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</si>
  <si>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</si>
  <si>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</si>
  <si>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</si>
  <si>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</si>
  <si>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</si>
  <si>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</si>
  <si>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</si>
  <si>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</si>
  <si>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</si>
  <si>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</si>
  <si>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</si>
  <si>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</si>
  <si>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</si>
  <si>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</si>
  <si>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</si>
  <si>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</si>
  <si>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</si>
  <si>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</si>
  <si>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</si>
  <si>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</si>
  <si>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</si>
  <si>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</si>
  <si>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</si>
  <si>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</si>
  <si>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</si>
  <si>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</si>
  <si>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</si>
  <si>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</si>
  <si>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</si>
  <si>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</si>
  <si>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</si>
  <si>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</si>
  <si>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</si>
  <si>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</si>
  <si>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</si>
  <si>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</si>
  <si>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</si>
  <si>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</si>
  <si>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</si>
  <si>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</si>
  <si>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</si>
  <si>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</si>
  <si>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</si>
  <si>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</si>
  <si>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</si>
  <si>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</si>
  <si>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</si>
  <si>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</si>
  <si>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</si>
  <si>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</si>
  <si>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</si>
  <si>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</si>
  <si>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</si>
  <si>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</si>
  <si>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</si>
  <si>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</si>
  <si>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</si>
  <si>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</si>
  <si>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</si>
  <si>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</si>
  <si>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</si>
  <si>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</si>
  <si>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</si>
  <si>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</si>
  <si>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</si>
  <si>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</si>
  <si>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</si>
  <si>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</si>
  <si>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</si>
  <si>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</si>
  <si>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</si>
  <si>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</si>
  <si>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</si>
  <si>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</si>
  <si>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</si>
  <si>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</si>
  <si>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</si>
  <si>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</si>
  <si>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</si>
  <si>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</si>
  <si>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</si>
  <si>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</si>
  <si>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</si>
  <si>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</si>
  <si>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</si>
  <si>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</si>
  <si>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</si>
  <si>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</si>
  <si>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</si>
  <si>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</si>
  <si>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</si>
  <si>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</si>
  <si>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</si>
  <si>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</si>
  <si>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</si>
  <si>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</si>
  <si>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</si>
  <si>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</si>
  <si>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</si>
  <si>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</si>
  <si>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</si>
  <si>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</si>
  <si>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</si>
  <si>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</si>
  <si>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</si>
  <si>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</si>
  <si>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</si>
  <si>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</si>
  <si>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</si>
  <si>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</si>
  <si>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</si>
  <si>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</si>
  <si>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</si>
  <si>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</si>
  <si>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</si>
  <si>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</si>
  <si>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</si>
  <si>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</si>
  <si>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</si>
  <si>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</si>
  <si>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</si>
  <si>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</si>
  <si>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</si>
  <si>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</si>
  <si>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</si>
  <si>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</si>
  <si>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</si>
  <si>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</si>
  <si>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</si>
  <si>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</si>
  <si>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</si>
  <si>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</si>
  <si>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</si>
  <si>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</si>
  <si>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</si>
  <si>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</si>
  <si>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</si>
  <si>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</si>
  <si>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</si>
  <si>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</si>
  <si>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</si>
  <si>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</si>
  <si>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</si>
  <si>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</si>
  <si>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</si>
  <si>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</si>
  <si>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</si>
  <si>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</si>
  <si>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</si>
  <si>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</si>
  <si>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</si>
  <si>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</si>
  <si>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</si>
  <si>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</si>
  <si>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</si>
  <si>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</si>
  <si>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</si>
  <si>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</si>
  <si>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</si>
  <si>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</si>
  <si>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</si>
  <si>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</si>
  <si>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</si>
  <si>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</si>
  <si>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</si>
  <si>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</si>
  <si>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</si>
  <si>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</si>
  <si>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</si>
  <si>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</si>
  <si>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</si>
  <si>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</si>
  <si>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</si>
  <si>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</si>
  <si>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</si>
  <si>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</si>
  <si>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</si>
  <si>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</si>
  <si>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</si>
  <si>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</si>
  <si>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</si>
  <si>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</si>
  <si>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</si>
  <si>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</si>
  <si>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</si>
  <si>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</si>
  <si>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</si>
  <si>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</si>
  <si>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</si>
  <si>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</si>
  <si>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</si>
  <si>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</si>
  <si>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</si>
  <si>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</si>
  <si>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</si>
  <si>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</si>
  <si>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</si>
  <si>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</si>
  <si>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</si>
  <si>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</si>
  <si>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</si>
  <si>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</si>
  <si>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</si>
  <si>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</si>
  <si>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</si>
  <si>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</si>
  <si>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</si>
  <si>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</si>
  <si>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</si>
  <si>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</si>
  <si>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</si>
  <si>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</si>
  <si>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</si>
  <si>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</si>
  <si>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</si>
  <si>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</si>
  <si>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</si>
  <si>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</si>
  <si>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</si>
  <si>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</si>
  <si>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</si>
  <si>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</si>
  <si>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</si>
  <si>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</si>
  <si>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</si>
  <si>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</si>
  <si>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</si>
  <si>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</si>
  <si>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</si>
  <si>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</si>
  <si>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</si>
  <si>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</si>
  <si>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</si>
  <si>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</si>
  <si>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</si>
  <si>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</si>
  <si>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</si>
  <si>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</si>
  <si>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</si>
  <si>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</si>
  <si>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</si>
  <si>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</si>
  <si>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</si>
  <si>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</si>
  <si>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</si>
  <si>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</si>
  <si>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</si>
  <si>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</si>
  <si>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</si>
  <si>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</si>
  <si>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</si>
  <si>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</si>
  <si>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</si>
  <si>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</si>
  <si>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</si>
  <si>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</si>
  <si>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</si>
  <si>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</si>
  <si>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</si>
  <si>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</si>
  <si>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</si>
  <si>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</si>
  <si>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</si>
  <si>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</si>
  <si>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</si>
  <si>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</si>
  <si>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</si>
  <si>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</si>
  <si>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</si>
  <si>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</si>
  <si>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</si>
  <si>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</si>
  <si>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</si>
  <si>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</si>
  <si>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</si>
  <si>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</si>
  <si>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</si>
  <si>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</si>
  <si>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</si>
  <si>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</si>
  <si>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</si>
  <si>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</si>
  <si>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</si>
  <si>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</si>
  <si>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</si>
  <si>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</si>
  <si>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</si>
  <si>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</si>
  <si>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</si>
  <si>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</si>
  <si>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</si>
  <si>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</si>
  <si>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</si>
  <si>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</si>
  <si>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</si>
  <si>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</si>
  <si>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</si>
  <si>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</si>
  <si>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</si>
  <si>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</si>
  <si>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</si>
  <si>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</si>
  <si>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</si>
  <si>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</si>
  <si>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</si>
  <si>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</si>
  <si>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</si>
  <si>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</si>
  <si>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</si>
  <si>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</si>
  <si>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</si>
  <si>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</si>
  <si>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</si>
  <si>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</si>
  <si>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</si>
  <si>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</si>
  <si>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</si>
  <si>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</si>
  <si>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</si>
  <si>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</si>
  <si>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</si>
  <si>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</si>
  <si>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</si>
  <si>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</si>
  <si>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</si>
  <si>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</si>
  <si>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</si>
  <si>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</si>
  <si>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</si>
  <si>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</si>
  <si>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</si>
  <si>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</si>
  <si>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</si>
  <si>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</si>
  <si>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</si>
  <si>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</si>
  <si>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</si>
  <si>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</si>
  <si>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</si>
  <si>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</si>
  <si>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</si>
  <si>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</si>
  <si>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</si>
  <si>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</si>
  <si>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</si>
  <si>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</si>
  <si>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</si>
  <si>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</si>
  <si>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</si>
  <si>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</si>
  <si>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</si>
  <si>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</si>
  <si>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</si>
  <si>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</si>
  <si>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</si>
  <si>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</si>
  <si>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</si>
  <si>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</si>
  <si>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</si>
  <si>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</si>
  <si>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</si>
  <si>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</si>
  <si>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</si>
  <si>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</si>
  <si>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</si>
  <si>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</si>
  <si>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</si>
  <si>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</si>
  <si>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</si>
  <si>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</si>
  <si>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</si>
  <si>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</si>
  <si>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</si>
  <si>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</si>
  <si>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</si>
  <si>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</si>
  <si>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</si>
  <si>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</si>
  <si>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</si>
  <si>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</si>
  <si>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</si>
  <si>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</si>
  <si>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</si>
  <si>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</si>
  <si>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</si>
  <si>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</si>
  <si>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</si>
  <si>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</si>
  <si>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</si>
  <si>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</si>
  <si>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</si>
  <si>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</si>
  <si>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</si>
  <si>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</si>
  <si>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</si>
  <si>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</si>
  <si>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</si>
  <si>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</si>
  <si>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</si>
  <si>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</si>
  <si>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</si>
  <si>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</si>
  <si>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</si>
  <si>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</si>
  <si>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</si>
  <si>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</si>
  <si>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</si>
  <si>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</si>
  <si>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</si>
  <si>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</si>
  <si>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</si>
  <si>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</si>
  <si>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</si>
  <si>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</si>
  <si>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</si>
  <si>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</si>
  <si>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</si>
  <si>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</si>
  <si>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</si>
  <si>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</si>
  <si>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</si>
  <si>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</si>
  <si>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</si>
  <si>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</si>
  <si>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</si>
  <si>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</si>
  <si>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</si>
  <si>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</si>
  <si>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</si>
  <si>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</si>
  <si>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</si>
  <si>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</si>
  <si>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</si>
  <si>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</si>
  <si>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</si>
  <si>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</si>
  <si>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</si>
  <si>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</si>
  <si>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</si>
  <si>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</si>
  <si>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</si>
  <si>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</si>
  <si>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</si>
  <si>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</si>
  <si>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</si>
  <si>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</si>
  <si>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</si>
  <si>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</si>
  <si>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</si>
  <si>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</si>
  <si>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</si>
  <si>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</si>
  <si>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</si>
  <si>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</si>
  <si>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</si>
  <si>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</si>
  <si>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</si>
  <si>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</si>
  <si>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</si>
  <si>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</si>
  <si>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</si>
  <si>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</si>
  <si>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</si>
  <si>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</si>
  <si>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</si>
  <si>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</si>
  <si>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</si>
  <si>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</si>
  <si>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</si>
  <si>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</si>
  <si>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</si>
  <si>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</si>
  <si>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</si>
  <si>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</si>
  <si>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</si>
  <si>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</si>
  <si>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</si>
  <si>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</si>
  <si>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</si>
  <si>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</si>
  <si>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</si>
  <si>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</si>
  <si>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</si>
  <si>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</si>
  <si>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</si>
  <si>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</si>
  <si>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</si>
  <si>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</si>
  <si>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</si>
  <si>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</si>
  <si>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</si>
  <si>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</si>
  <si>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</si>
  <si>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</si>
  <si>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</si>
  <si>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</si>
  <si>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</si>
  <si>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</si>
  <si>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</si>
  <si>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</si>
  <si>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</si>
  <si>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</si>
  <si>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</si>
  <si>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</si>
  <si>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</si>
  <si>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</si>
  <si>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</si>
  <si>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</si>
  <si>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</si>
  <si>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</si>
  <si>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</si>
  <si>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</si>
  <si>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</si>
  <si>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</si>
  <si>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</si>
  <si>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</si>
  <si>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</si>
  <si>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</si>
  <si>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</si>
  <si>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</si>
  <si>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</si>
  <si>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</si>
  <si>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</si>
  <si>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</si>
  <si>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</si>
  <si>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</si>
  <si>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</si>
  <si>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</si>
  <si>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</si>
  <si>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</si>
  <si>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</si>
  <si>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</si>
  <si>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</si>
  <si>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</si>
  <si>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</si>
  <si>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</si>
  <si>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</si>
  <si>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</si>
  <si>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</si>
  <si>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</si>
  <si>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</si>
  <si>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</si>
  <si>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</si>
  <si>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</si>
  <si>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</si>
  <si>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</si>
  <si>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</si>
  <si>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</si>
  <si>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</si>
  <si>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</si>
  <si>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</si>
  <si>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</si>
  <si>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</si>
  <si>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</si>
  <si>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</si>
  <si>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</si>
  <si>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</si>
  <si>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</si>
  <si>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</si>
  <si>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</si>
  <si>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</si>
  <si>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</si>
  <si>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</si>
  <si>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</si>
  <si>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</si>
  <si>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</si>
  <si>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</si>
  <si>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</si>
  <si>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</si>
  <si>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</si>
  <si>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</si>
  <si>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</si>
  <si>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</si>
  <si>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</si>
  <si>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</si>
  <si>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</si>
  <si>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</si>
  <si>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</si>
  <si>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</si>
  <si>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</si>
  <si>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</si>
  <si>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</si>
  <si>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</si>
  <si>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</si>
  <si>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</si>
  <si>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</si>
  <si>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</si>
  <si>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</si>
  <si>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</si>
  <si>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</si>
  <si>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</si>
  <si>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</si>
  <si>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</si>
  <si>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</si>
  <si>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</si>
  <si>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</si>
  <si>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</si>
  <si>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</si>
  <si>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</si>
  <si>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</si>
  <si>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</si>
  <si>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</si>
  <si>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</si>
  <si>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</si>
  <si>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</si>
  <si>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</si>
  <si>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</si>
  <si>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</si>
  <si>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</si>
  <si>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</si>
  <si>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</si>
  <si>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</si>
  <si>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</si>
  <si>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</si>
  <si>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</si>
  <si>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</si>
  <si>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</si>
  <si>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</si>
  <si>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</si>
  <si>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</si>
  <si>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</si>
  <si>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</si>
  <si>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</si>
  <si>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</si>
  <si>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</si>
  <si>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</si>
  <si>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</si>
  <si>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</si>
  <si>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</si>
  <si>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</si>
  <si>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</si>
  <si>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</si>
  <si>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</si>
  <si>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</si>
  <si>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</si>
  <si>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</si>
  <si>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</si>
  <si>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</si>
  <si>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</si>
  <si>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</si>
  <si>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</si>
  <si>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</si>
  <si>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</si>
  <si>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</si>
  <si>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</si>
  <si>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</si>
  <si>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</si>
  <si>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</si>
  <si>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</si>
  <si>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</si>
  <si>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</si>
  <si>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</si>
  <si>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</si>
  <si>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</si>
  <si>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</si>
  <si>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</si>
  <si>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</si>
  <si>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</si>
  <si>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</si>
  <si>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</si>
  <si>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</si>
  <si>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</si>
  <si>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</si>
  <si>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</si>
  <si>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</si>
  <si>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</si>
  <si>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</si>
  <si>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</si>
  <si>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</si>
  <si>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</si>
  <si>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</si>
  <si>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</si>
  <si>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</si>
  <si>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</si>
  <si>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</si>
  <si>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</si>
  <si>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</si>
  <si>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</si>
  <si>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</si>
  <si>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</si>
  <si>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</si>
  <si>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</si>
  <si>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</si>
  <si>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</si>
  <si>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</si>
  <si>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</si>
  <si>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</si>
  <si>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</si>
  <si>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</si>
  <si>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</si>
  <si>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</si>
  <si>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</si>
  <si>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</si>
  <si>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</si>
  <si>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</si>
  <si>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</si>
  <si>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</si>
  <si>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</si>
  <si>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</si>
  <si>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</si>
  <si>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</si>
  <si>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</si>
  <si>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</si>
  <si>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</si>
  <si>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</si>
  <si>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</si>
  <si>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</si>
  <si>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</si>
  <si>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</si>
  <si>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</si>
  <si>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</si>
  <si>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</si>
  <si>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</si>
  <si>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</si>
  <si>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</si>
  <si>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</si>
  <si>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</si>
  <si>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</si>
  <si>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</si>
  <si>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</si>
  <si>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</si>
  <si>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</si>
  <si>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</si>
  <si>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</si>
  <si>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</si>
  <si>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</si>
  <si>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</si>
  <si>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</si>
  <si>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</si>
  <si>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</si>
  <si>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</si>
  <si>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</si>
  <si>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</si>
  <si>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</si>
  <si>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</si>
  <si>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</si>
  <si>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</si>
  <si>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</si>
  <si>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</si>
  <si>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</si>
  <si>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</si>
  <si>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</si>
  <si>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</si>
  <si>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</si>
  <si>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</si>
  <si>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</si>
  <si>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</si>
  <si>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</si>
  <si>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</si>
  <si>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</si>
  <si>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</si>
  <si>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</si>
  <si>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</si>
  <si>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</si>
  <si>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</si>
  <si>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</si>
  <si>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</si>
  <si>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</si>
  <si>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</si>
  <si>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</si>
  <si>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</si>
  <si>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</si>
  <si>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</si>
  <si>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</si>
  <si>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</si>
  <si>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</si>
  <si>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</si>
  <si>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</si>
  <si>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</si>
  <si>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</si>
  <si>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</si>
  <si>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</si>
  <si>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</si>
  <si>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</si>
  <si>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</si>
  <si>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</si>
  <si>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</si>
  <si>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</si>
  <si>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</si>
  <si>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</si>
  <si>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</si>
  <si>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</si>
  <si>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</si>
  <si>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</si>
  <si>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</si>
  <si>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</si>
  <si>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</si>
  <si>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</si>
  <si>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</si>
  <si>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</si>
  <si>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</si>
  <si>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</si>
  <si>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</si>
  <si>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</si>
  <si>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</si>
  <si>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</si>
  <si>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</si>
  <si>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</si>
  <si>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</si>
  <si>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</si>
  <si>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</si>
  <si>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</si>
  <si>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</si>
  <si>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</si>
  <si>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</si>
  <si>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</si>
  <si>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</si>
  <si>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</si>
  <si>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</si>
  <si>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</si>
  <si>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</si>
  <si>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</si>
  <si>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</si>
  <si>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</si>
  <si>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</si>
  <si>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</si>
  <si>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</si>
  <si>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</si>
  <si>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</si>
  <si>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</si>
  <si>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</si>
  <si>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</si>
  <si>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</si>
  <si>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</si>
  <si>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</si>
  <si>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</si>
  <si>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</si>
  <si>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</si>
  <si>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</si>
  <si>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</si>
  <si>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</si>
  <si>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</si>
  <si>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</si>
  <si>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</si>
  <si>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</si>
  <si>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</si>
  <si>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</si>
  <si>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</si>
  <si>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</si>
  <si>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</si>
  <si>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</si>
  <si>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</si>
  <si>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</si>
  <si>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</si>
  <si>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</si>
  <si>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</si>
  <si>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</si>
  <si>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</si>
  <si>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</si>
  <si>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</si>
  <si>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</si>
  <si>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</si>
  <si>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</si>
  <si>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</si>
  <si>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</si>
  <si>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</si>
  <si>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</si>
  <si>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</si>
  <si>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</si>
  <si>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</si>
  <si>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</si>
  <si>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</si>
  <si>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</si>
  <si>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</si>
  <si>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</si>
  <si>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</si>
  <si>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</si>
  <si>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</si>
  <si>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</si>
  <si>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</si>
  <si>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</si>
  <si>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</si>
  <si>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</si>
  <si>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</si>
  <si>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</si>
  <si>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</si>
  <si>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</si>
  <si>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</si>
  <si>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</si>
  <si>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</si>
  <si>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</si>
  <si>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</si>
  <si>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</si>
  <si>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</si>
  <si>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</si>
  <si>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</si>
  <si>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</si>
  <si>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</si>
  <si>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</si>
  <si>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</si>
  <si>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</si>
  <si>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</si>
  <si>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</si>
  <si>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</si>
  <si>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</si>
  <si>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</si>
  <si>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</si>
  <si>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</si>
  <si>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</si>
  <si>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</si>
  <si>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</si>
  <si>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</si>
  <si>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</si>
  <si>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</si>
  <si>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</si>
  <si>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</si>
  <si>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</si>
  <si>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</si>
  <si>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</si>
  <si>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</si>
  <si>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</si>
  <si>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</si>
  <si>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</si>
  <si>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</si>
  <si>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</si>
  <si>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</si>
  <si>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</si>
  <si>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</si>
  <si>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</si>
  <si>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</si>
  <si>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</si>
  <si>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</si>
  <si>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</si>
  <si>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</si>
  <si>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</si>
  <si>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</si>
  <si>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</si>
  <si>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</si>
  <si>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</si>
  <si>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</si>
  <si>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</si>
  <si>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</si>
  <si>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</si>
  <si>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</si>
  <si>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</si>
  <si>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</si>
  <si>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</si>
  <si>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</si>
  <si>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</si>
  <si>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</si>
  <si>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</si>
  <si>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</si>
  <si>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</si>
  <si>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</si>
  <si>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</si>
  <si>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</si>
  <si>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</si>
  <si>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</si>
  <si>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</si>
  <si>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</si>
  <si>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</si>
  <si>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</si>
  <si>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</si>
  <si>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</si>
  <si>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</si>
  <si>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</si>
  <si>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</si>
  <si>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</si>
  <si>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</si>
  <si>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</si>
  <si>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</si>
  <si>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</si>
  <si>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</si>
  <si>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</si>
  <si>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</si>
  <si>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</si>
  <si>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</si>
  <si>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</si>
  <si>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</si>
  <si>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</si>
  <si>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</si>
  <si>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</si>
  <si>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</si>
  <si>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</si>
  <si>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</si>
  <si>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</si>
  <si>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</si>
  <si>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</si>
  <si>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</si>
  <si>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</si>
  <si>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</si>
  <si>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</si>
  <si>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</si>
  <si>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</si>
  <si>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</si>
  <si>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</si>
  <si>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</si>
  <si>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</si>
  <si>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</si>
  <si>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</si>
  <si>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</si>
  <si>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</si>
  <si>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</si>
  <si>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</si>
  <si>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</si>
  <si>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</si>
  <si>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</si>
  <si>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</si>
  <si>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</si>
  <si>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</si>
  <si>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</si>
  <si>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</si>
  <si>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</si>
  <si>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</si>
  <si>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</si>
  <si>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</si>
  <si>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</si>
  <si>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</si>
  <si>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</si>
  <si>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</si>
  <si>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</si>
  <si>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</si>
  <si>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</si>
  <si>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</si>
  <si>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</si>
  <si>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</si>
  <si>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</si>
  <si>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</si>
  <si>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</si>
  <si>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</si>
  <si>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</si>
  <si>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</si>
  <si>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</si>
  <si>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</si>
  <si>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</si>
  <si>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</si>
  <si>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</si>
  <si>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</si>
  <si>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</si>
  <si>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</si>
  <si>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</si>
  <si>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</si>
  <si>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</si>
  <si>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</si>
  <si>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</si>
  <si>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</si>
  <si>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</si>
  <si>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</si>
  <si>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</si>
  <si>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</si>
  <si>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</si>
  <si>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</si>
  <si>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</si>
  <si>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</si>
  <si>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</si>
  <si>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</si>
  <si>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</si>
  <si>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</si>
  <si>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</si>
  <si>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</si>
  <si>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</si>
  <si>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</si>
  <si>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</si>
  <si>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</si>
  <si>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</si>
  <si>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</si>
  <si>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</si>
  <si>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</si>
  <si>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</si>
  <si>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</si>
  <si>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</si>
  <si>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</si>
  <si>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</si>
  <si>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</si>
  <si>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</si>
  <si>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</si>
  <si>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</si>
  <si>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</si>
  <si>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</si>
  <si>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</si>
  <si>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</si>
  <si>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</si>
  <si>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</si>
  <si>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</si>
  <si>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</si>
  <si>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</si>
  <si>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</si>
  <si>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</si>
  <si>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</si>
  <si>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</si>
  <si>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</si>
  <si>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</si>
  <si>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</si>
  <si>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</si>
  <si>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</si>
  <si>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</si>
  <si>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</si>
  <si>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</si>
  <si>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</si>
  <si>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</si>
  <si>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</si>
  <si>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</si>
  <si>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</si>
  <si>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</si>
  <si>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</si>
  <si>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</si>
  <si>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</si>
  <si>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</si>
  <si>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</si>
  <si>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</si>
  <si>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</si>
  <si>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</si>
  <si>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</si>
  <si>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</si>
  <si>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</si>
  <si>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</si>
  <si>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</si>
  <si>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</si>
  <si>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</si>
  <si>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</si>
  <si>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</si>
  <si>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</si>
  <si>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</si>
  <si>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</si>
  <si>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</si>
  <si>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</si>
  <si>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</si>
  <si>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</si>
  <si>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</si>
  <si>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</si>
  <si>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</si>
  <si>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</si>
  <si>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</si>
  <si>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</si>
  <si>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</si>
  <si>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</si>
  <si>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</si>
  <si>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</si>
  <si>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</si>
  <si>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</si>
  <si>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</si>
  <si>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</si>
  <si>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</si>
  <si>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</si>
  <si>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</si>
  <si>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</si>
  <si>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</si>
  <si>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</si>
  <si>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</si>
  <si>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</si>
  <si>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</si>
  <si>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</si>
  <si>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</si>
  <si>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</si>
  <si>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</si>
  <si>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</si>
  <si>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</si>
  <si>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</si>
  <si>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</si>
  <si>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</si>
  <si>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</si>
  <si>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</si>
  <si>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</si>
  <si>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</si>
  <si>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</si>
  <si>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</si>
  <si>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</si>
  <si>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</si>
  <si>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</si>
  <si>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</si>
  <si>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</si>
  <si>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</si>
  <si>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</si>
  <si>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</si>
  <si>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</si>
  <si>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</si>
  <si>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</si>
  <si>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</si>
  <si>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</si>
  <si>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</si>
  <si>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</si>
  <si>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</si>
  <si>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</si>
  <si>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</si>
  <si>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</si>
  <si>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</si>
  <si>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</si>
  <si>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</si>
  <si>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</si>
  <si>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</si>
  <si>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</si>
  <si>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</si>
  <si>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</si>
  <si>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</si>
  <si>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</si>
  <si>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</si>
  <si>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</si>
  <si>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</si>
  <si>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</si>
  <si>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</si>
  <si>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</si>
  <si>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</si>
  <si>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</si>
  <si>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</si>
  <si>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</si>
  <si>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</si>
  <si>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</si>
  <si>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</si>
  <si>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</si>
  <si>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</si>
  <si>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</si>
  <si>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</si>
  <si>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</si>
  <si>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</si>
  <si>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</si>
  <si>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</si>
  <si>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</si>
  <si>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</si>
  <si>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</si>
  <si>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</si>
  <si>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</si>
  <si>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</si>
  <si>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</si>
  <si>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</si>
  <si>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</si>
  <si>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</si>
  <si>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</si>
  <si>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</si>
  <si>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</si>
  <si>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</si>
  <si>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</si>
  <si>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</si>
  <si>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</si>
  <si>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</si>
  <si>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</si>
  <si>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</si>
  <si>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</si>
  <si>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</si>
  <si>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</si>
  <si>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</si>
  <si>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</si>
  <si>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</si>
  <si>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</si>
  <si>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</si>
  <si>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</si>
  <si>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</si>
  <si>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</si>
  <si>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</si>
  <si>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</si>
  <si>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</si>
  <si>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</si>
  <si>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</si>
  <si>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</si>
  <si>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</si>
  <si>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</si>
  <si>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</si>
  <si>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</si>
  <si>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</si>
  <si>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</si>
  <si>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</si>
  <si>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</si>
  <si>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</si>
  <si>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</si>
  <si>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</si>
  <si>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</si>
  <si>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</si>
  <si>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</si>
  <si>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</si>
  <si>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</si>
  <si>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</si>
  <si>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</si>
  <si>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</si>
  <si>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</si>
  <si>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</si>
  <si>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</si>
  <si>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</si>
  <si>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</si>
  <si>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</si>
  <si>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</si>
  <si>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</si>
  <si>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</si>
  <si>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</si>
  <si>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</si>
  <si>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</si>
  <si>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</si>
  <si>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</si>
  <si>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</si>
  <si>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</si>
  <si>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</si>
  <si>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</si>
  <si>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</si>
  <si>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</si>
  <si>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</si>
  <si>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</si>
  <si>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</si>
  <si>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</si>
  <si>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</si>
  <si>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</si>
  <si>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</si>
  <si>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</si>
  <si>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</si>
  <si>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</si>
  <si>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</si>
  <si>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</si>
  <si>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</si>
  <si>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</si>
  <si>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</si>
  <si>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</si>
  <si>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</si>
  <si>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</si>
  <si>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</si>
  <si>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</si>
  <si>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</si>
  <si>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</si>
  <si>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</si>
  <si>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</si>
  <si>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</si>
  <si>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</si>
  <si>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</si>
  <si>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</si>
  <si>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</si>
  <si>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</si>
  <si>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</si>
  <si>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</si>
  <si>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</si>
  <si>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</si>
  <si>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</si>
  <si>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</si>
  <si>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</si>
  <si>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</si>
  <si>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</si>
  <si>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</si>
  <si>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</si>
  <si>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</si>
  <si>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</si>
  <si>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</si>
  <si>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</si>
  <si>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</si>
  <si>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</si>
  <si>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</si>
  <si>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</si>
  <si>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</si>
  <si>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</si>
  <si>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</si>
  <si>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</si>
  <si>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</si>
  <si>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</si>
  <si>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</si>
  <si>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</si>
  <si>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</si>
  <si>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</si>
  <si>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</si>
  <si>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</si>
  <si>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</si>
  <si>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</si>
  <si>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</si>
  <si>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</si>
  <si>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</si>
  <si>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</si>
  <si>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</si>
  <si>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</si>
  <si>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</si>
  <si>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</si>
  <si>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</si>
  <si>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</si>
  <si>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</si>
  <si>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</si>
  <si>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</si>
  <si>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</si>
  <si>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</si>
  <si>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</si>
  <si>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</si>
  <si>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</si>
  <si>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</si>
  <si>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</si>
  <si>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</si>
  <si>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</si>
  <si>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</si>
  <si>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</si>
  <si>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</si>
  <si>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</si>
  <si>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</si>
  <si>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</si>
  <si>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</si>
  <si>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</si>
  <si>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</si>
  <si>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</si>
  <si>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</si>
  <si>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</si>
  <si>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</si>
  <si>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</si>
  <si>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</si>
  <si>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</si>
  <si>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</si>
  <si>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</si>
  <si>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</si>
  <si>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</si>
  <si>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</si>
  <si>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</si>
  <si>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</si>
  <si>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</si>
  <si>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</si>
  <si>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</si>
  <si>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</si>
  <si>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</si>
  <si>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</si>
  <si>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</si>
  <si>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</si>
  <si>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</si>
  <si>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</si>
  <si>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</si>
  <si>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</si>
  <si>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</si>
  <si>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</si>
  <si>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</si>
  <si>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</si>
  <si>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</si>
  <si>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</si>
  <si>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</si>
  <si>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</si>
  <si>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</si>
  <si>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</si>
  <si>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</si>
  <si>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</si>
  <si>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</si>
  <si>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</si>
  <si>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</si>
  <si>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</si>
  <si>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</si>
  <si>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</si>
  <si>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</si>
  <si>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</si>
  <si>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</si>
  <si>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</si>
  <si>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</si>
  <si>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</si>
  <si>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</si>
  <si>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</si>
  <si>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</si>
  <si>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</si>
  <si>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</si>
  <si>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</si>
  <si>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</si>
  <si>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</si>
  <si>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</si>
  <si>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</si>
  <si>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</si>
  <si>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</si>
  <si>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</si>
  <si>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</si>
  <si>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</si>
  <si>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</si>
  <si>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</si>
  <si>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</si>
  <si>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</si>
  <si>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</si>
  <si>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</si>
  <si>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</si>
  <si>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</si>
  <si>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</si>
  <si>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</si>
  <si>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</si>
  <si>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</si>
  <si>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</si>
  <si>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</si>
  <si>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</si>
  <si>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</si>
  <si>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</si>
  <si>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</si>
  <si>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</si>
  <si>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</si>
  <si>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</si>
  <si>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</si>
  <si>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</si>
  <si>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</si>
  <si>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</si>
  <si>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</si>
  <si>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</si>
  <si>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</si>
  <si>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</si>
  <si>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</si>
  <si>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</si>
  <si>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</si>
  <si>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</si>
  <si>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</si>
  <si>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</si>
  <si>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</si>
  <si>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</si>
  <si>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</si>
  <si>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</si>
  <si>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</si>
  <si>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</si>
  <si>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</si>
  <si>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</si>
  <si>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</si>
  <si>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</si>
  <si>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</si>
  <si>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</si>
  <si>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</si>
  <si>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</si>
  <si>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</si>
  <si>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</si>
  <si>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</si>
  <si>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</si>
  <si>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</si>
  <si>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</si>
  <si>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</si>
  <si>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</si>
  <si>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</si>
  <si>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</si>
  <si>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</si>
  <si>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</si>
  <si>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</si>
  <si>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</si>
  <si>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</si>
  <si>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</si>
  <si>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</si>
  <si>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</si>
  <si>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</si>
  <si>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</si>
  <si>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</si>
  <si>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</si>
  <si>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</si>
  <si>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</si>
  <si>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</si>
  <si>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</si>
  <si>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</si>
  <si>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</si>
  <si>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</si>
  <si>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</si>
  <si>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</si>
  <si>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</si>
  <si>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</si>
  <si>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</si>
  <si>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</si>
  <si>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</si>
  <si>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</si>
  <si>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</si>
  <si>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</si>
  <si>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</si>
  <si>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</si>
  <si>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</si>
  <si>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</si>
  <si>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</si>
  <si>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</si>
  <si>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</si>
  <si>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</si>
  <si>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</si>
  <si>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</si>
  <si>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</si>
  <si>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</si>
  <si>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</si>
  <si>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</si>
  <si>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</si>
  <si>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</si>
  <si>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</si>
  <si>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</si>
  <si>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</si>
  <si>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</si>
  <si>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</si>
  <si>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</si>
  <si>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</si>
  <si>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</si>
  <si>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</si>
  <si>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</si>
  <si>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</si>
  <si>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</si>
  <si>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</si>
  <si>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</si>
  <si>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</si>
  <si>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</si>
  <si>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</si>
  <si>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</si>
  <si>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</si>
  <si>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</si>
  <si>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</si>
  <si>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</si>
  <si>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</si>
  <si>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</si>
  <si>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</si>
  <si>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</si>
  <si>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</si>
  <si>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</si>
  <si>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</si>
  <si>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</si>
  <si>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</si>
  <si>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</si>
  <si>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</si>
  <si>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</si>
  <si>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</si>
  <si>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</si>
  <si>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</si>
  <si>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</si>
  <si>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</si>
  <si>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</si>
  <si>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</si>
  <si>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</si>
  <si>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</si>
  <si>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</si>
  <si>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</si>
  <si>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</si>
  <si>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</si>
  <si>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</si>
  <si>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</si>
  <si>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</si>
  <si>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</si>
  <si>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</si>
  <si>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</si>
  <si>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</si>
  <si>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</si>
  <si>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</si>
  <si>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</si>
  <si>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</si>
  <si>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</si>
  <si>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</si>
  <si>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</si>
  <si>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</si>
  <si>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</si>
  <si>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</si>
  <si>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</si>
  <si>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</si>
  <si>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</si>
  <si>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</si>
  <si>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</si>
  <si>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</si>
  <si>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</si>
  <si>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</si>
  <si>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</si>
  <si>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</si>
  <si>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</si>
  <si>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</si>
  <si>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</si>
  <si>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</si>
  <si>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</si>
  <si>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</si>
  <si>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</si>
  <si>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</si>
  <si>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</si>
  <si>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</si>
  <si>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</si>
  <si>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</si>
  <si>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</si>
  <si>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</si>
  <si>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</si>
  <si>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</si>
  <si>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</si>
  <si>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</si>
  <si>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</si>
  <si>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</si>
  <si>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</si>
  <si>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</si>
  <si>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</si>
  <si>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</si>
  <si>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</si>
  <si>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</si>
  <si>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</si>
  <si>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</si>
  <si>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</si>
  <si>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</si>
  <si>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</si>
  <si>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</si>
  <si>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</si>
  <si>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</si>
  <si>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</si>
  <si>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</si>
  <si>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</si>
  <si>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</si>
  <si>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</si>
  <si>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</si>
  <si>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</si>
  <si>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</si>
  <si>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</si>
  <si>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</si>
  <si>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</si>
  <si>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</si>
  <si>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</si>
  <si>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</si>
  <si>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</si>
  <si>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</si>
  <si>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</si>
  <si>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</si>
  <si>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</si>
  <si>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</si>
  <si>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</si>
  <si>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</si>
  <si>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</si>
  <si>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</si>
  <si>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</si>
  <si>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</si>
  <si>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</si>
  <si>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</si>
  <si>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</si>
  <si>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</si>
  <si>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</si>
  <si>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</si>
  <si>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</si>
  <si>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</si>
  <si>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</si>
  <si>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</si>
  <si>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</si>
  <si>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</si>
  <si>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</si>
  <si>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</si>
  <si>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</si>
  <si>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</si>
  <si>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</si>
  <si>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</si>
  <si>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</si>
  <si>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</si>
  <si>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</si>
  <si>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</si>
  <si>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</si>
  <si>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</si>
  <si>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</si>
  <si>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</si>
  <si>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</si>
  <si>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</si>
  <si>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</si>
  <si>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</si>
  <si>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</si>
  <si>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</si>
  <si>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</si>
  <si>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</si>
  <si>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</si>
  <si>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</si>
  <si>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</si>
  <si>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</si>
  <si>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</si>
  <si>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</si>
  <si>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</si>
  <si>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</si>
  <si>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</si>
  <si>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</si>
  <si>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</si>
  <si>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</si>
  <si>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</si>
  <si>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</si>
  <si>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</si>
  <si>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</si>
  <si>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</si>
  <si>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</si>
  <si>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</si>
  <si>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</si>
  <si>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</si>
  <si>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</si>
  <si>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</si>
  <si>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</si>
  <si>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</si>
  <si>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</si>
  <si>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</si>
  <si>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</si>
  <si>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</si>
  <si>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</si>
  <si>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</si>
  <si>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</si>
  <si>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</si>
  <si>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</si>
  <si>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</si>
  <si>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</si>
  <si>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</si>
  <si>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</si>
  <si>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</si>
  <si>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</si>
  <si>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</si>
  <si>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</si>
  <si>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</si>
  <si>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</si>
  <si>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</si>
  <si>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</si>
  <si>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</si>
  <si>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</si>
  <si>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</si>
  <si>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</si>
  <si>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</si>
  <si>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</si>
  <si>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</si>
  <si>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</si>
  <si>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</si>
  <si>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</si>
  <si>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</si>
  <si>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</si>
  <si>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</si>
  <si>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</si>
  <si>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</si>
  <si>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</si>
  <si>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</si>
  <si>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</si>
  <si>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</si>
  <si>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</si>
  <si>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</si>
  <si>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</si>
  <si>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</si>
  <si>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</si>
  <si>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</si>
  <si>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</si>
  <si>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</si>
  <si>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</si>
  <si>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</si>
  <si>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</si>
  <si>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</si>
  <si>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</si>
  <si>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</si>
  <si>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</si>
  <si>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</si>
  <si>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</si>
  <si>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</si>
  <si>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</si>
  <si>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</si>
  <si>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</si>
  <si>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</si>
  <si>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</si>
  <si>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</si>
  <si>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</si>
  <si>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</si>
  <si>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</si>
  <si>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</si>
  <si>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</si>
  <si>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</si>
  <si>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</si>
  <si>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</si>
  <si>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</si>
  <si>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</si>
  <si>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</si>
  <si>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</si>
  <si>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</si>
  <si>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</si>
  <si>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</si>
  <si>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</si>
  <si>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</si>
  <si>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</si>
  <si>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</si>
  <si>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</si>
  <si>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</si>
  <si>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</si>
  <si>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</si>
  <si>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</si>
  <si>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</si>
  <si>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</si>
  <si>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</si>
  <si>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</si>
  <si>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</si>
  <si>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</si>
  <si>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</si>
  <si>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</si>
  <si>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</si>
  <si>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</si>
  <si>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</si>
  <si>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</si>
  <si>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</si>
  <si>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</si>
  <si>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</si>
  <si>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</si>
  <si>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</si>
  <si>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</si>
  <si>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</si>
  <si>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</si>
  <si>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</si>
  <si>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</si>
  <si>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</si>
  <si>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</si>
  <si>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</si>
  <si>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</si>
  <si>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</si>
  <si>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</si>
  <si>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</si>
  <si>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</si>
  <si>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</si>
  <si>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</si>
  <si>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</si>
  <si>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</si>
  <si>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</si>
  <si>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</si>
  <si>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</si>
  <si>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</si>
  <si>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</si>
  <si>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</si>
  <si>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</si>
  <si>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</si>
  <si>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</si>
  <si>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</si>
  <si>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</si>
  <si>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</si>
  <si>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</si>
  <si>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</si>
  <si>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</si>
  <si>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</si>
  <si>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</si>
  <si>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</si>
  <si>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</si>
  <si>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</si>
  <si>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</si>
  <si>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</si>
  <si>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</si>
  <si>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</si>
  <si>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</si>
  <si>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</si>
  <si>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</si>
  <si>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</si>
  <si>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</si>
  <si>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</si>
  <si>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</si>
  <si>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</si>
  <si>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</si>
  <si>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</si>
  <si>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</si>
  <si>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</si>
  <si>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</si>
  <si>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</si>
  <si>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</si>
  <si>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</si>
  <si>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</si>
  <si>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</si>
  <si>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</si>
  <si>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</si>
  <si>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</si>
  <si>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</si>
  <si>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</si>
  <si>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</si>
  <si>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</si>
  <si>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</si>
  <si>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</si>
  <si>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</si>
  <si>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</si>
  <si>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</si>
  <si>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</si>
  <si>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</si>
  <si>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</si>
  <si>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</si>
  <si>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</si>
  <si>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</si>
  <si>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</si>
  <si>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</si>
  <si>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</si>
  <si>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</si>
  <si>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</si>
  <si>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</si>
  <si>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</si>
  <si>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</si>
  <si>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</si>
  <si>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</si>
  <si>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</si>
  <si>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</si>
  <si>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</si>
  <si>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</si>
  <si>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</si>
  <si>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</si>
  <si>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</si>
  <si>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</si>
  <si>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</si>
  <si>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</si>
  <si>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</si>
  <si>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</si>
  <si>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</si>
  <si>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</si>
  <si>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</si>
  <si>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</si>
  <si>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</si>
  <si>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</si>
  <si>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</si>
  <si>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</si>
  <si>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</si>
  <si>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</si>
  <si>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</si>
  <si>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</si>
  <si>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</si>
  <si>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</si>
  <si>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</si>
  <si>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</si>
  <si>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</si>
  <si>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</si>
  <si>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</si>
  <si>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</si>
  <si>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</si>
  <si>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</si>
  <si>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</si>
  <si>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</si>
  <si>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</si>
  <si>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</si>
  <si>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</si>
  <si>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</si>
  <si>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</si>
  <si>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</si>
  <si>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</si>
  <si>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</si>
  <si>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</si>
  <si>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</si>
  <si>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</si>
  <si>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</si>
  <si>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</si>
  <si>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</si>
  <si>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</si>
  <si>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</si>
  <si>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</si>
  <si>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</si>
  <si>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</si>
  <si>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</si>
  <si>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</si>
  <si>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</si>
  <si>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</si>
  <si>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</si>
  <si>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</si>
  <si>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</si>
  <si>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</si>
  <si>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</si>
  <si>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</si>
  <si>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</si>
  <si>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</si>
  <si>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</si>
  <si>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</si>
  <si>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</si>
  <si>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</si>
  <si>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</si>
  <si>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</si>
  <si>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</si>
  <si>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</si>
  <si>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</si>
  <si>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</si>
  <si>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</si>
  <si>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</si>
  <si>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</si>
  <si>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</si>
  <si>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</si>
  <si>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</si>
  <si>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</si>
  <si>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</si>
  <si>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</si>
  <si>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</si>
  <si>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</si>
  <si>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</si>
  <si>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</si>
  <si>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</si>
  <si>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</si>
  <si>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</si>
  <si>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</si>
  <si>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</si>
  <si>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</si>
  <si>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</si>
  <si>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</si>
  <si>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</si>
  <si>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</si>
  <si>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</si>
  <si>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</si>
  <si>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</si>
  <si>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</si>
  <si>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</si>
  <si>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</si>
  <si>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</si>
  <si>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</si>
  <si>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</si>
  <si>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</si>
  <si>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</si>
  <si>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</si>
  <si>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</si>
  <si>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</si>
  <si>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</si>
  <si>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</si>
  <si>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</si>
  <si>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</si>
  <si>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</si>
  <si>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</si>
  <si>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</si>
  <si>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</si>
  <si>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</si>
  <si>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</si>
  <si>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</si>
  <si>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</si>
  <si>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</si>
  <si>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</si>
  <si>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</si>
  <si>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</si>
  <si>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</si>
  <si>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</si>
  <si>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</si>
  <si>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</si>
  <si>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</si>
  <si>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</si>
  <si>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</si>
  <si>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</si>
  <si>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</si>
  <si>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</si>
  <si>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</si>
  <si>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</si>
  <si>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</si>
  <si>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</si>
  <si>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</si>
  <si>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</si>
  <si>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</si>
  <si>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</si>
  <si>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</si>
  <si>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</si>
  <si>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</si>
  <si>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</si>
  <si>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</si>
  <si>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</si>
  <si>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</si>
  <si>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</si>
  <si>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</si>
  <si>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</si>
  <si>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</si>
  <si>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</si>
  <si>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</si>
  <si>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</si>
  <si>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</si>
  <si>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</si>
  <si>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</si>
  <si>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</si>
  <si>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</si>
  <si>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</si>
  <si>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</si>
  <si>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</si>
  <si>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</si>
  <si>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</si>
  <si>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</si>
  <si>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</si>
  <si>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</si>
  <si>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</si>
  <si>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</si>
  <si>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</si>
  <si>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</si>
  <si>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</si>
  <si>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</si>
  <si>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</si>
  <si>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</si>
  <si>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</si>
  <si>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</si>
  <si>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</si>
  <si>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</si>
  <si>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</si>
  <si>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</si>
  <si>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</si>
  <si>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</si>
  <si>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</si>
  <si>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</si>
  <si>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</si>
  <si>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</si>
  <si>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</si>
  <si>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</si>
  <si>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</si>
  <si>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</si>
  <si>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</si>
  <si>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</si>
  <si>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</si>
  <si>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</si>
  <si>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</si>
  <si>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</si>
  <si>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</si>
  <si>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</si>
  <si>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</si>
  <si>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</si>
  <si>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</si>
  <si>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</si>
  <si>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</si>
  <si>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</si>
  <si>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</si>
  <si>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</si>
  <si>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</si>
  <si>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</si>
  <si>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</si>
  <si>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</si>
  <si>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</si>
  <si>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</si>
  <si>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</si>
  <si>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</si>
  <si>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</si>
  <si>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</si>
  <si>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</si>
  <si>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</si>
  <si>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</si>
  <si>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</si>
  <si>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</si>
  <si>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</si>
  <si>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</si>
  <si>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</si>
  <si>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</si>
  <si>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</si>
  <si>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</si>
  <si>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</si>
  <si>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</si>
  <si>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</si>
  <si>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</si>
  <si>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</si>
  <si>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</si>
  <si>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</si>
  <si>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</si>
  <si>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</si>
  <si>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</si>
  <si>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</si>
  <si>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</si>
  <si>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</si>
  <si>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</si>
  <si>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</si>
  <si>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</si>
  <si>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</si>
  <si>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</si>
  <si>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</si>
  <si>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</si>
  <si>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</si>
  <si>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</si>
  <si>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</si>
  <si>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</si>
  <si>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</si>
  <si>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</si>
  <si>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</si>
  <si>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</si>
  <si>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</si>
  <si>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</si>
  <si>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</si>
  <si>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</si>
  <si>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</si>
  <si>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</si>
  <si>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</si>
  <si>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</si>
  <si>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</si>
  <si>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</si>
  <si>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</si>
  <si>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</si>
  <si>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</si>
  <si>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</si>
  <si>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</si>
  <si>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</si>
  <si>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</si>
  <si>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</si>
  <si>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</si>
  <si>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</si>
  <si>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</si>
  <si>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</si>
  <si>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</si>
  <si>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</si>
  <si>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</si>
  <si>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</si>
  <si>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</si>
  <si>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</si>
  <si>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</si>
  <si>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</si>
  <si>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</si>
  <si>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</si>
  <si>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</si>
  <si>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</si>
  <si>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</si>
  <si>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</si>
  <si>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</si>
  <si>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</si>
  <si>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</si>
  <si>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</si>
  <si>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</si>
  <si>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</si>
  <si>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</si>
  <si>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</si>
  <si>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</si>
  <si>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</si>
  <si>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</si>
  <si>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</si>
  <si>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</si>
  <si>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</si>
  <si>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</si>
  <si>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</si>
  <si>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</si>
  <si>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</si>
  <si>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</si>
  <si>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</si>
  <si>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</si>
  <si>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</si>
  <si>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</si>
  <si>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</si>
  <si>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</si>
  <si>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</si>
  <si>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</si>
  <si>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</si>
  <si>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</si>
  <si>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</si>
  <si>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</si>
  <si>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</si>
  <si>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</si>
  <si>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</si>
  <si>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</si>
  <si>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</si>
  <si>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</si>
  <si>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</si>
  <si>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</si>
  <si>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</si>
  <si>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</si>
  <si>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</si>
  <si>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</si>
  <si>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</si>
  <si>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</si>
  <si>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</si>
  <si>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</si>
  <si>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</si>
  <si>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</si>
  <si>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</si>
  <si>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</si>
  <si>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</si>
  <si>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</si>
  <si>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</si>
  <si>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</si>
  <si>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</si>
  <si>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</si>
  <si>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</si>
  <si>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</si>
  <si>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</si>
  <si>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</si>
  <si>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</si>
  <si>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</si>
  <si>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</si>
  <si>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</si>
  <si>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</si>
  <si>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</si>
  <si>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</si>
  <si>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</si>
  <si>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</si>
  <si>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</si>
  <si>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</si>
  <si>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</si>
  <si>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</si>
  <si>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</si>
  <si>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</si>
  <si>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</si>
  <si>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</si>
  <si>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</si>
  <si>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</si>
  <si>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</si>
  <si>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</si>
  <si>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</si>
  <si>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</si>
  <si>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</si>
  <si>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</si>
  <si>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</si>
  <si>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</si>
  <si>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</si>
  <si>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</si>
  <si>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</si>
  <si>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</si>
  <si>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</si>
  <si>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</si>
  <si>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</si>
  <si>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</si>
  <si>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</si>
  <si>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</si>
  <si>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</si>
  <si>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</si>
  <si>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</si>
  <si>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</si>
  <si>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</si>
  <si>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</si>
  <si>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</si>
  <si>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</si>
  <si>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</si>
  <si>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</si>
  <si>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</si>
  <si>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</si>
  <si>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</si>
  <si>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</si>
  <si>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</si>
  <si>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</si>
  <si>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</si>
  <si>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</si>
  <si>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</si>
  <si>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</si>
  <si>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</si>
  <si>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</si>
  <si>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</si>
  <si>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</si>
  <si>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</si>
  <si>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</si>
  <si>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</si>
  <si>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</si>
  <si>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</si>
  <si>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</si>
  <si>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</si>
  <si>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</si>
  <si>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</si>
  <si>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</si>
  <si>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</si>
  <si>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</si>
  <si>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</si>
  <si>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</si>
  <si>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</si>
  <si>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</si>
  <si>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</si>
  <si>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</si>
  <si>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</si>
  <si>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</si>
  <si>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</si>
  <si>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</si>
  <si>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</si>
  <si>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</si>
  <si>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</si>
  <si>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</si>
  <si>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</si>
  <si>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</si>
  <si>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</si>
  <si>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</si>
  <si>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</si>
  <si>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</si>
  <si>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</si>
  <si>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</si>
  <si>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</si>
  <si>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</si>
  <si>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</si>
  <si>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</si>
  <si>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</si>
  <si>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</si>
  <si>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</si>
  <si>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</si>
  <si>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</si>
  <si>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</si>
  <si>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</si>
  <si>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</si>
  <si>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</si>
  <si>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</si>
  <si>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</si>
  <si>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</si>
  <si>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</si>
  <si>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</si>
  <si>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</si>
  <si>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</si>
  <si>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</si>
  <si>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</si>
  <si>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</si>
  <si>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</si>
  <si>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</si>
  <si>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</si>
  <si>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</si>
  <si>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</si>
  <si>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</si>
  <si>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</si>
  <si>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</si>
  <si>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</si>
  <si>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</si>
  <si>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</si>
  <si>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</si>
  <si>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</si>
  <si>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</si>
  <si>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</si>
  <si>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</si>
  <si>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</si>
  <si>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</si>
  <si>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</si>
  <si>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</si>
  <si>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</si>
  <si>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</si>
  <si>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</si>
  <si>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</si>
  <si>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</si>
  <si>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</si>
  <si>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</si>
  <si>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</si>
  <si>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</si>
  <si>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</si>
  <si>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</si>
  <si>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</si>
  <si>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</si>
  <si>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</si>
  <si>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</si>
  <si>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</si>
  <si>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</si>
  <si>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</si>
  <si>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</si>
  <si>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</si>
  <si>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</si>
  <si>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</si>
  <si>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</si>
  <si>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</si>
  <si>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</si>
  <si>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</si>
  <si>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</si>
  <si>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</si>
  <si>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</si>
  <si>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</si>
  <si>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</si>
  <si>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</si>
  <si>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</si>
  <si>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</si>
  <si>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</si>
  <si>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</si>
  <si>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</si>
  <si>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</si>
  <si>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</si>
  <si>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</si>
  <si>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</si>
  <si>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</si>
  <si>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</si>
  <si>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</si>
  <si>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</si>
  <si>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</si>
  <si>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</si>
  <si>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</si>
  <si>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</si>
  <si>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</si>
  <si>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</si>
  <si>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</si>
  <si>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</si>
  <si>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</si>
  <si>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</si>
  <si>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</si>
  <si>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</si>
  <si>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</si>
  <si>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</si>
  <si>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</si>
  <si>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</si>
  <si>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</si>
  <si>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</si>
  <si>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</si>
  <si>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</si>
  <si>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</si>
  <si>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</si>
  <si>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</si>
  <si>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</si>
  <si>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</si>
  <si>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</si>
  <si>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</si>
  <si>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</si>
  <si>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</si>
  <si>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</si>
  <si>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</si>
  <si>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</si>
  <si>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</si>
  <si>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</si>
  <si>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</si>
  <si>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</si>
  <si>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</si>
  <si>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</si>
  <si>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</si>
  <si>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</si>
  <si>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</si>
  <si>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</si>
  <si>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</si>
  <si>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</si>
  <si>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</si>
  <si>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</si>
  <si>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</si>
  <si>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</si>
  <si>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</si>
  <si>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</si>
  <si>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</si>
  <si>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</si>
  <si>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</si>
  <si>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</si>
  <si>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</si>
  <si>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</si>
  <si>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</si>
  <si>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</si>
  <si>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</si>
  <si>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</si>
  <si>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</si>
  <si>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</si>
  <si>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</si>
  <si>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</si>
  <si>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</si>
  <si>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</si>
  <si>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</si>
  <si>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</si>
  <si>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</si>
  <si>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</si>
  <si>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</si>
  <si>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</si>
  <si>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</si>
  <si>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</si>
  <si>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</si>
  <si>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</si>
  <si>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</si>
  <si>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</si>
  <si>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</si>
  <si>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</si>
  <si>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</si>
  <si>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</si>
  <si>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</si>
  <si>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</si>
  <si>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</si>
  <si>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</si>
  <si>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</si>
  <si>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</si>
  <si>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</si>
  <si>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</si>
  <si>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</si>
  <si>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</si>
  <si>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</si>
  <si>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</si>
  <si>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</si>
  <si>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</si>
  <si>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</si>
  <si>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</si>
  <si>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</si>
  <si>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</si>
  <si>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</si>
  <si>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</si>
  <si>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</si>
  <si>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</si>
  <si>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</si>
  <si>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</si>
  <si>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</si>
  <si>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</si>
  <si>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</si>
  <si>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</si>
  <si>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</si>
  <si>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</si>
  <si>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</si>
  <si>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</si>
  <si>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</si>
  <si>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</si>
  <si>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</si>
  <si>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</si>
  <si>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</si>
  <si>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</si>
  <si>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</si>
  <si>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</si>
  <si>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</si>
  <si>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</si>
  <si>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</si>
  <si>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</si>
  <si>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</si>
  <si>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</si>
  <si>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</si>
  <si>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</si>
  <si>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</si>
  <si>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</si>
  <si>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</si>
  <si>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</si>
  <si>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</si>
  <si>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</si>
  <si>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</si>
  <si>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</si>
  <si>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</si>
  <si>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</si>
  <si>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</si>
  <si>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</si>
  <si>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</si>
  <si>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</si>
  <si>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</si>
  <si>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</si>
  <si>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</si>
  <si>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</si>
  <si>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</si>
  <si>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</si>
  <si>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</si>
  <si>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</si>
  <si>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</si>
  <si>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</si>
  <si>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</si>
  <si>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</si>
  <si>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</si>
  <si>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</si>
  <si>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</si>
  <si>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</si>
  <si>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</si>
  <si>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</si>
  <si>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</si>
  <si>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</si>
  <si>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</si>
  <si>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</si>
  <si>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</si>
  <si>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</si>
  <si>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</si>
  <si>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</si>
  <si>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</si>
  <si>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</si>
  <si>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</si>
  <si>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</si>
  <si>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</si>
  <si>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</si>
  <si>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</si>
  <si>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</si>
  <si>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</si>
  <si>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</si>
  <si>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</si>
  <si>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</si>
  <si>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</si>
  <si>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</si>
  <si>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</si>
  <si>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</si>
  <si>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</si>
  <si>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</si>
  <si>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</si>
  <si>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</si>
  <si>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</si>
  <si>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</si>
  <si>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</si>
  <si>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</si>
  <si>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</si>
  <si>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</si>
  <si>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</si>
  <si>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</si>
  <si>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</si>
  <si>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</si>
  <si>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</si>
  <si>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</si>
  <si>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</si>
  <si>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</si>
  <si>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</si>
  <si>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</si>
  <si>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</si>
  <si>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</si>
  <si>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</si>
  <si>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</si>
  <si>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</si>
  <si>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</si>
  <si>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</si>
  <si>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</si>
  <si>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</si>
  <si>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</si>
  <si>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</si>
  <si>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</si>
  <si>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</si>
  <si>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</si>
  <si>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</si>
  <si>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</si>
  <si>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</si>
  <si>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</si>
  <si>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</si>
  <si>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</si>
  <si>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</si>
  <si>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</si>
  <si>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</si>
  <si>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</si>
  <si>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</si>
  <si>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</si>
  <si>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</si>
  <si>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</si>
  <si>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</si>
  <si>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</si>
  <si>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</si>
  <si>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</si>
  <si>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</si>
  <si>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</si>
  <si>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</si>
  <si>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</si>
  <si>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</si>
  <si>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</si>
  <si>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</si>
  <si>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</si>
  <si>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</si>
  <si>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</si>
  <si>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</si>
  <si>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</si>
  <si>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</si>
  <si>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</si>
  <si>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</si>
  <si>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</si>
  <si>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</si>
  <si>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</si>
  <si>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</si>
  <si>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</si>
  <si>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</si>
  <si>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</si>
  <si>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</si>
  <si>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</si>
  <si>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</si>
  <si>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</si>
  <si>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</si>
  <si>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</si>
  <si>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</si>
  <si>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</si>
  <si>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</si>
  <si>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</si>
  <si>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</si>
  <si>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</si>
  <si>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</si>
  <si>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</si>
  <si>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</si>
  <si>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</si>
  <si>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</si>
  <si>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</si>
  <si>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</si>
  <si>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</si>
  <si>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</si>
  <si>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</si>
  <si>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</si>
  <si>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</si>
  <si>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</si>
  <si>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</si>
  <si>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</si>
  <si>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</si>
  <si>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</si>
  <si>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</si>
  <si>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</si>
  <si>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</si>
  <si>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</si>
  <si>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</si>
  <si>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</si>
  <si>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</si>
  <si>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</si>
  <si>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</si>
  <si>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</si>
  <si>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</si>
  <si>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</si>
  <si>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</si>
  <si>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</si>
  <si>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</si>
  <si>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</si>
  <si>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</si>
  <si>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</si>
  <si>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</si>
  <si>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</si>
  <si>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</si>
  <si>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</si>
  <si>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</si>
  <si>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</si>
  <si>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</si>
  <si>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</si>
  <si>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</si>
  <si>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</si>
  <si>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</si>
  <si>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</si>
  <si>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</si>
  <si>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</si>
  <si>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</si>
  <si>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</si>
  <si>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</si>
  <si>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</si>
  <si>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</si>
  <si>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</si>
  <si>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</si>
  <si>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</si>
  <si>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</si>
  <si>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</si>
  <si>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</si>
  <si>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</si>
  <si>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</si>
  <si>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</si>
  <si>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</si>
  <si>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</si>
  <si>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</si>
  <si>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</si>
  <si>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</si>
  <si>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</si>
  <si>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</si>
  <si>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</si>
  <si>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</si>
  <si>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</si>
  <si>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</si>
  <si>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</si>
  <si>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</si>
  <si>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</si>
  <si>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</si>
  <si>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</si>
  <si>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</si>
  <si>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</si>
  <si>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</si>
  <si>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</si>
  <si>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</si>
  <si>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</si>
  <si>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</si>
  <si>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</si>
  <si>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</si>
  <si>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</si>
  <si>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</si>
  <si>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</si>
  <si>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</si>
  <si>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</si>
  <si>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</si>
  <si>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</si>
  <si>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</si>
  <si>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</si>
  <si>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</si>
  <si>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</si>
  <si>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</si>
  <si>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</si>
  <si>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</si>
  <si>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</si>
  <si>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</si>
  <si>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</si>
  <si>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</si>
  <si>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</si>
  <si>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</si>
  <si>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</si>
  <si>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</si>
  <si>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</si>
  <si>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</si>
  <si>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</si>
  <si>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</si>
  <si>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</si>
  <si>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</si>
  <si>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</si>
  <si>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</si>
  <si>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</si>
  <si>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</si>
  <si>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</si>
  <si>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</si>
  <si>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</si>
  <si>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</si>
  <si>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</si>
  <si>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</si>
  <si>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</si>
  <si>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</si>
  <si>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</si>
  <si>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</si>
  <si>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</si>
  <si>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</si>
  <si>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</si>
  <si>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</si>
  <si>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</si>
  <si>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</si>
  <si>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</si>
  <si>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</si>
  <si>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</si>
  <si>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</si>
  <si>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</si>
  <si>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</si>
  <si>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</si>
  <si>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</si>
  <si>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</si>
  <si>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</si>
  <si>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</si>
  <si>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</si>
  <si>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</si>
  <si>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</si>
  <si>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</si>
  <si>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</si>
  <si>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</si>
  <si>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</si>
  <si>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</si>
  <si>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</si>
  <si>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</si>
  <si>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</si>
  <si>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</si>
  <si>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</si>
  <si>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</si>
  <si>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</si>
  <si>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</si>
  <si>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</si>
  <si>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</si>
  <si>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</si>
  <si>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</si>
  <si>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</si>
  <si>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</si>
  <si>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</si>
  <si>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</si>
  <si>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</si>
  <si>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</si>
  <si>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</si>
  <si>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</si>
  <si>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</si>
  <si>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</si>
  <si>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</si>
  <si>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</si>
  <si>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</si>
  <si>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</si>
  <si>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</si>
  <si>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</si>
  <si>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</si>
  <si>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</si>
  <si>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</si>
  <si>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</si>
  <si>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</si>
  <si>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</si>
  <si>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</si>
  <si>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</si>
  <si>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</si>
  <si>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</si>
  <si>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</si>
  <si>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</si>
  <si>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</si>
  <si>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</si>
  <si>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</si>
  <si>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</si>
  <si>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</si>
  <si>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</si>
  <si>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</si>
  <si>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</si>
  <si>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</si>
  <si>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</si>
  <si>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</si>
  <si>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</si>
  <si>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</si>
  <si>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</si>
  <si>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</si>
  <si>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</si>
  <si>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</si>
  <si>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</si>
  <si>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</si>
  <si>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</si>
  <si>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</si>
  <si>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</si>
  <si>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</si>
  <si>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</si>
  <si>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</si>
  <si>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</si>
  <si>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</si>
  <si>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</si>
  <si>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</si>
  <si>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</si>
  <si>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</si>
  <si>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</si>
  <si>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</si>
  <si>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</si>
  <si>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</si>
  <si>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</si>
  <si>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</si>
  <si>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</si>
  <si>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</si>
  <si>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</si>
  <si>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</si>
  <si>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</si>
  <si>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</si>
  <si>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</si>
  <si>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</si>
  <si>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</si>
  <si>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</si>
  <si>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</si>
  <si>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</si>
  <si>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</si>
  <si>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</si>
  <si>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</si>
  <si>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</si>
  <si>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</si>
  <si>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</si>
  <si>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</si>
  <si>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</si>
  <si>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</si>
  <si>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</si>
  <si>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</si>
  <si>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</si>
  <si>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</si>
  <si>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</si>
  <si>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</si>
  <si>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</si>
  <si>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</si>
  <si>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</si>
  <si>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</si>
  <si>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</si>
  <si>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</si>
  <si>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</si>
  <si>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</si>
  <si>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</si>
  <si>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</si>
  <si>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</si>
  <si>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</si>
  <si>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</si>
  <si>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</si>
  <si>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</si>
  <si>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</si>
  <si>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</si>
  <si>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</si>
  <si>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</si>
  <si>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</si>
  <si>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</si>
  <si>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</si>
  <si>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</si>
  <si>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</si>
  <si>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</si>
  <si>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</si>
  <si>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</si>
  <si>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</si>
  <si>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</si>
  <si>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</si>
  <si>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</si>
  <si>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</si>
  <si>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</si>
  <si>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</si>
  <si>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</si>
  <si>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</si>
  <si>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</si>
  <si>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</si>
  <si>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</si>
  <si>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</si>
  <si>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</si>
  <si>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</si>
  <si>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</si>
  <si>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</si>
  <si>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</si>
  <si>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</si>
  <si>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</si>
  <si>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</si>
  <si>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</si>
  <si>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</si>
  <si>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</si>
  <si>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</si>
  <si>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</si>
  <si>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</si>
  <si>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</si>
  <si>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</si>
  <si>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</si>
  <si>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</si>
  <si>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</si>
  <si>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</si>
  <si>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</si>
  <si>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</si>
  <si>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</si>
  <si>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</si>
  <si>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</si>
  <si>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</si>
  <si>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</si>
  <si>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</si>
  <si>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</si>
  <si>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</si>
  <si>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</si>
  <si>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</si>
  <si>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</si>
  <si>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</si>
  <si>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</si>
  <si>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</si>
  <si>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</si>
  <si>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</si>
  <si>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</si>
  <si>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</si>
  <si>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</si>
  <si>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</si>
  <si>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</si>
  <si>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</si>
  <si>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</si>
  <si>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</si>
  <si>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</si>
  <si>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</si>
  <si>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</si>
  <si>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</si>
  <si>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</si>
  <si>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</si>
  <si>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</si>
  <si>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</si>
  <si>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</si>
  <si>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</si>
  <si>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</si>
  <si>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</si>
  <si>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</si>
  <si>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</si>
  <si>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</si>
  <si>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</si>
  <si>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</si>
  <si>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</si>
  <si>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</si>
  <si>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</si>
  <si>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</si>
  <si>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</si>
  <si>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</si>
  <si>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</si>
  <si>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</si>
  <si>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</si>
  <si>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</si>
  <si>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</si>
  <si>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</si>
  <si>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</si>
  <si>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</si>
  <si>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</si>
  <si>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</si>
  <si>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</si>
  <si>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</si>
  <si>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</si>
  <si>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</si>
  <si>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</si>
  <si>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</si>
  <si>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</si>
  <si>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</si>
  <si>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</si>
  <si>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</si>
  <si>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</si>
  <si>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</si>
  <si>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</si>
  <si>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</si>
  <si>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</si>
  <si>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</si>
  <si>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</si>
  <si>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</si>
  <si>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</si>
  <si>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</si>
  <si>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</si>
  <si>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</si>
  <si>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</si>
  <si>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</si>
  <si>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</si>
  <si>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</si>
  <si>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</si>
  <si>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</si>
  <si>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</si>
  <si>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</si>
  <si>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</si>
  <si>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</si>
  <si>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</si>
  <si>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</si>
  <si>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</si>
  <si>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</si>
  <si>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</si>
  <si>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</si>
  <si>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</si>
  <si>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</si>
  <si>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</si>
  <si>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</si>
  <si>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</si>
  <si>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</si>
  <si>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</si>
  <si>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</si>
  <si>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</si>
  <si>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</si>
  <si>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</si>
  <si>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</si>
  <si>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</si>
  <si>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</si>
  <si>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</si>
  <si>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</si>
  <si>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</si>
  <si>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</si>
  <si>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</si>
  <si>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</si>
  <si>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</si>
  <si>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</si>
  <si>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</si>
  <si>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</si>
  <si>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</si>
  <si>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</si>
  <si>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</si>
  <si>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</si>
  <si>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</si>
  <si>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</si>
  <si>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</si>
  <si>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</si>
  <si>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</si>
  <si>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</si>
  <si>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</si>
  <si>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</si>
  <si>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</si>
  <si>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</si>
  <si>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</si>
  <si>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</si>
  <si>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</si>
  <si>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</si>
  <si>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</si>
  <si>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</si>
  <si>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</si>
  <si>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</si>
  <si>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</si>
  <si>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</si>
  <si>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</si>
  <si>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</si>
  <si>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</si>
  <si>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</si>
  <si>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</si>
  <si>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</si>
  <si>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</si>
  <si>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</si>
  <si>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</si>
  <si>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</si>
  <si>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</si>
  <si>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</si>
  <si>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</si>
  <si>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</si>
  <si>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</si>
  <si>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</si>
  <si>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</si>
  <si>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</si>
  <si>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</si>
  <si>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</si>
  <si>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</si>
  <si>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</si>
  <si>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</si>
  <si>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</si>
  <si>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</si>
  <si>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</si>
  <si>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</si>
  <si>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</si>
  <si>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</si>
  <si>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</si>
  <si>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</si>
  <si>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</si>
  <si>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</si>
  <si>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</si>
  <si>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</si>
  <si>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</si>
  <si>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</si>
  <si>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</si>
  <si>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</si>
  <si>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</si>
  <si>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</si>
  <si>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</si>
  <si>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</si>
  <si>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</si>
  <si>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</si>
  <si>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</si>
  <si>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</si>
  <si>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</si>
  <si>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</si>
  <si>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</si>
  <si>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</si>
  <si>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</si>
  <si>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</si>
  <si>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</si>
  <si>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</si>
  <si>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</si>
  <si>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</si>
  <si>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</si>
  <si>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</si>
  <si>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</si>
  <si>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</si>
  <si>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</si>
  <si>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</si>
  <si>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</si>
  <si>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</si>
  <si>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</si>
  <si>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</si>
  <si>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</si>
  <si>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</si>
  <si>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</si>
  <si>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</si>
  <si>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</si>
  <si>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</si>
  <si>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</si>
  <si>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</si>
  <si>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</si>
  <si>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</si>
  <si>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</si>
  <si>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</si>
  <si>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</si>
  <si>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</si>
  <si>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</si>
  <si>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</si>
  <si>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</si>
  <si>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</si>
  <si>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</si>
  <si>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</si>
  <si>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</si>
  <si>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</si>
  <si>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</si>
  <si>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</si>
  <si>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</si>
  <si>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</si>
  <si>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</si>
  <si>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</si>
  <si>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</si>
  <si>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</si>
  <si>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</si>
  <si>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</si>
  <si>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</si>
  <si>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</si>
  <si>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</si>
  <si>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</si>
  <si>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</si>
  <si>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</si>
  <si>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</si>
  <si>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</si>
  <si>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</si>
  <si>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</si>
  <si>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</si>
  <si>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</si>
  <si>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</si>
  <si>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</si>
  <si>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</si>
  <si>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</si>
  <si>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</si>
  <si>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</si>
  <si>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</si>
  <si>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</si>
  <si>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</si>
  <si>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</si>
  <si>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</si>
  <si>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</si>
  <si>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</si>
  <si>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</si>
  <si>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</si>
  <si>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</si>
  <si>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</si>
  <si>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</si>
  <si>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</si>
  <si>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</si>
  <si>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</si>
  <si>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</si>
  <si>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</si>
  <si>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</si>
  <si>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</si>
  <si>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</si>
  <si>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</si>
  <si>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</si>
  <si>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</si>
  <si>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</si>
  <si>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</si>
  <si>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</si>
  <si>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</si>
  <si>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</si>
  <si>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</si>
  <si>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</si>
  <si>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</si>
  <si>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</si>
  <si>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</si>
  <si>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</si>
  <si>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</si>
  <si>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</si>
  <si>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</si>
  <si>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</si>
  <si>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</si>
  <si>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</si>
  <si>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</si>
  <si>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</si>
  <si>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</si>
  <si>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</si>
  <si>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</si>
  <si>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</si>
  <si>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</si>
  <si>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</si>
  <si>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</si>
  <si>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</si>
  <si>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</si>
  <si>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</si>
  <si>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</si>
  <si>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</si>
  <si>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</si>
  <si>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</si>
  <si>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</si>
  <si>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</si>
  <si>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</si>
  <si>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</si>
  <si>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</si>
  <si>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</si>
  <si>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</si>
  <si>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</si>
  <si>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</si>
  <si>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</si>
  <si>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</si>
  <si>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</si>
  <si>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</si>
  <si>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</si>
  <si>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</si>
  <si>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</si>
  <si>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</si>
  <si>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</si>
  <si>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</si>
  <si>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</si>
  <si>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</si>
  <si>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</si>
  <si>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</si>
  <si>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</si>
  <si>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</si>
  <si>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</si>
  <si>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</si>
  <si>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</si>
  <si>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</si>
  <si>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</si>
  <si>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</si>
  <si>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</si>
  <si>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</si>
  <si>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</si>
  <si>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</si>
  <si>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</si>
  <si>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</si>
  <si>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</si>
  <si>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</si>
  <si>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</si>
  <si>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</si>
  <si>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</si>
  <si>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</si>
  <si>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</si>
  <si>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</si>
  <si>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</si>
  <si>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</si>
  <si>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</si>
  <si>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</si>
  <si>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</si>
  <si>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</si>
  <si>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</si>
  <si>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</si>
  <si>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</si>
  <si>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</si>
  <si>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</si>
  <si>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</si>
  <si>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</si>
  <si>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</si>
  <si>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</si>
  <si>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</si>
  <si>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</si>
  <si>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</si>
  <si>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</si>
  <si>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</si>
  <si>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</si>
  <si>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</si>
  <si>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</si>
  <si>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</si>
  <si>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</si>
  <si>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</si>
  <si>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</si>
  <si>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</si>
  <si>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</si>
  <si>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</si>
  <si>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</si>
  <si>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</si>
  <si>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</si>
  <si>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</si>
  <si>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</si>
  <si>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</si>
  <si>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</si>
  <si>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</si>
  <si>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</si>
  <si>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</si>
  <si>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</si>
  <si>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</si>
  <si>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</si>
  <si>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</si>
  <si>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</si>
  <si>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</si>
  <si>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</si>
  <si>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</si>
  <si>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</si>
  <si>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</si>
  <si>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</si>
  <si>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</si>
  <si>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</si>
  <si>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</si>
  <si>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</si>
  <si>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</si>
  <si>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</si>
  <si>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</si>
  <si>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</si>
  <si>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</si>
  <si>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</si>
  <si>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</si>
  <si>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</si>
  <si>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</si>
  <si>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</si>
  <si>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</si>
  <si>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</si>
  <si>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</si>
  <si>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</si>
  <si>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</si>
  <si>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</si>
  <si>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</si>
  <si>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</si>
  <si>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</si>
  <si>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</si>
  <si>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</si>
  <si>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</si>
  <si>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</si>
  <si>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</si>
  <si>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</si>
  <si>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</si>
  <si>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</si>
  <si>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</si>
  <si>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</si>
  <si>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</si>
  <si>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</si>
  <si>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</si>
  <si>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</si>
  <si>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</si>
  <si>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</si>
  <si>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</si>
  <si>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</si>
  <si>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</si>
  <si>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</si>
  <si>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</si>
  <si>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</si>
  <si>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</si>
  <si>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</si>
  <si>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</si>
  <si>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</si>
  <si>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</si>
  <si>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</si>
  <si>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</si>
  <si>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</si>
  <si>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</si>
  <si>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</si>
  <si>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</si>
  <si>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</si>
  <si>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</si>
  <si>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</si>
  <si>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</si>
  <si>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</si>
  <si>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</si>
  <si>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</si>
  <si>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</si>
  <si>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</si>
  <si>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</si>
  <si>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</si>
  <si>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</si>
  <si>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</si>
  <si>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</si>
  <si>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</si>
  <si>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</si>
  <si>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</si>
  <si>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</si>
  <si>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</si>
  <si>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</si>
  <si>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</si>
  <si>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</si>
  <si>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</si>
  <si>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</si>
  <si>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</si>
  <si>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</si>
  <si>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</si>
  <si>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</si>
  <si>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</si>
  <si>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</si>
  <si>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</si>
  <si>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</si>
  <si>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</si>
  <si>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</si>
  <si>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</si>
  <si>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</si>
  <si>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</si>
  <si>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</si>
  <si>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</si>
  <si>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</si>
  <si>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</si>
  <si>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</si>
  <si>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</si>
  <si>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</si>
  <si>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</si>
  <si>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</si>
  <si>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</si>
  <si>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</si>
  <si>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</si>
  <si>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</si>
  <si>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</si>
  <si>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</si>
  <si>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</si>
  <si>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</si>
  <si>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</si>
  <si>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</si>
  <si>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</si>
  <si>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</si>
  <si>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</si>
  <si>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</si>
  <si>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</si>
  <si>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</si>
  <si>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</si>
  <si>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</si>
  <si>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</si>
  <si>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</si>
  <si>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</si>
  <si>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</si>
  <si>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</si>
  <si>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</si>
  <si>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</si>
  <si>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</si>
  <si>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</si>
  <si>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</si>
  <si>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</si>
  <si>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</si>
  <si>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</si>
  <si>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</si>
  <si>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</si>
  <si>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</si>
  <si>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</si>
  <si>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</si>
  <si>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</si>
  <si>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</si>
  <si>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</si>
  <si>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</si>
  <si>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</si>
  <si>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</si>
  <si>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</si>
  <si>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</si>
  <si>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</si>
  <si>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</si>
  <si>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</si>
  <si>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</si>
  <si>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</si>
  <si>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</si>
  <si>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</si>
  <si>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</si>
  <si>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</si>
  <si>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</si>
  <si>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</si>
  <si>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</si>
  <si>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</si>
  <si>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</si>
  <si>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</si>
  <si>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</si>
  <si>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</si>
  <si>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</si>
  <si>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</si>
  <si>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</si>
  <si>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</si>
  <si>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</si>
  <si>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</si>
  <si>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</si>
  <si>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</si>
  <si>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</si>
  <si>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</si>
  <si>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</si>
  <si>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</si>
  <si>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</si>
  <si>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</si>
  <si>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</si>
  <si>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</si>
  <si>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</si>
  <si>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</si>
  <si>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</si>
  <si>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</si>
  <si>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</si>
  <si>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</si>
  <si>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</si>
  <si>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</si>
  <si>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</si>
  <si>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</si>
  <si>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</si>
  <si>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</si>
  <si>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</si>
  <si>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</si>
  <si>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</si>
  <si>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</si>
  <si>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</si>
  <si>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</si>
  <si>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</si>
  <si>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</si>
  <si>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</si>
  <si>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</si>
  <si>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</si>
  <si>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</si>
  <si>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</si>
  <si>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</si>
  <si>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</si>
  <si>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</si>
  <si>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</si>
  <si>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</si>
  <si>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</si>
  <si>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</si>
  <si>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</si>
  <si>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</si>
  <si>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</si>
  <si>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</si>
  <si>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</si>
  <si>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</si>
  <si>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</si>
  <si>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</si>
  <si>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</si>
  <si>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</si>
  <si>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</si>
  <si>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</si>
  <si>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</si>
  <si>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</si>
  <si>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</si>
  <si>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</si>
  <si>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</si>
  <si>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</si>
  <si>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</si>
  <si>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</si>
  <si>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</si>
  <si>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</si>
  <si>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</si>
  <si>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</si>
  <si>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</si>
  <si>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</si>
  <si>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</si>
  <si>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</si>
  <si>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</si>
  <si>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</si>
  <si>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</si>
  <si>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</si>
  <si>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</si>
  <si>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</si>
  <si>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</si>
  <si>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</si>
  <si>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</si>
  <si>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</si>
  <si>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</si>
  <si>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</si>
  <si>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</si>
  <si>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</si>
  <si>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</si>
  <si>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</si>
  <si>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</si>
  <si>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</si>
  <si>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</si>
  <si>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</si>
  <si>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</si>
  <si>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</si>
  <si>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</si>
  <si>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</si>
  <si>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</si>
  <si>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</si>
  <si>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</si>
  <si>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</si>
  <si>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</si>
  <si>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</si>
  <si>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</si>
  <si>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</si>
  <si>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</si>
  <si>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</si>
  <si>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</si>
  <si>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</si>
  <si>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</si>
  <si>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</si>
  <si>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</si>
  <si>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</si>
  <si>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</si>
  <si>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</si>
  <si>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</si>
  <si>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</si>
  <si>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</si>
  <si>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</si>
  <si>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</si>
  <si>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</si>
  <si>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</si>
  <si>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</si>
  <si>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</si>
  <si>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</si>
  <si>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</si>
  <si>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</si>
  <si>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</si>
  <si>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</si>
  <si>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</si>
  <si>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</si>
  <si>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</si>
  <si>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</si>
  <si>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</si>
  <si>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</si>
  <si>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</si>
  <si>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</si>
  <si>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</si>
  <si>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</si>
  <si>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</si>
  <si>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</si>
  <si>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</si>
  <si>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</si>
  <si>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</si>
  <si>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</si>
  <si>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</si>
  <si>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</si>
  <si>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</si>
  <si>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</si>
  <si>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</si>
  <si>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</si>
  <si>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</si>
  <si>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</si>
  <si>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</si>
  <si>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</si>
  <si>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</si>
  <si>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</si>
  <si>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</si>
  <si>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</si>
  <si>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</si>
  <si>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</si>
  <si>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</si>
  <si>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</si>
  <si>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</si>
  <si>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</si>
  <si>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</si>
  <si>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</si>
  <si>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</si>
  <si>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</si>
  <si>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</si>
  <si>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</si>
  <si>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</si>
  <si>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</si>
  <si>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</si>
  <si>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</si>
  <si>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</si>
  <si>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</si>
  <si>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</si>
  <si>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</si>
  <si>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</si>
  <si>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</si>
  <si>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</si>
  <si>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</si>
  <si>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</si>
  <si>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</si>
  <si>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</si>
  <si>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</si>
  <si>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</si>
  <si>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</si>
  <si>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</si>
  <si>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</si>
  <si>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</si>
  <si>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</si>
  <si>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</si>
  <si>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</si>
  <si>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</si>
  <si>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</si>
  <si>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</si>
  <si>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</si>
  <si>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</si>
  <si>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</si>
  <si>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</si>
  <si>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</si>
  <si>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</si>
  <si>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</si>
  <si>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</si>
  <si>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</si>
  <si>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</si>
  <si>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</si>
  <si>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</si>
  <si>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</si>
  <si>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</si>
  <si>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</si>
  <si>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</si>
  <si>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</si>
  <si>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</si>
  <si>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</si>
  <si>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</si>
  <si>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</si>
  <si>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</si>
  <si>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</si>
  <si>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</si>
  <si>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</si>
  <si>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</si>
  <si>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</si>
  <si>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</si>
  <si>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</si>
  <si>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</si>
  <si>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</si>
  <si>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</si>
  <si>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</si>
  <si>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</si>
  <si>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</si>
  <si>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</si>
  <si>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</si>
  <si>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</si>
  <si>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</si>
  <si>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</si>
  <si>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</si>
  <si>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</si>
  <si>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</si>
  <si>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</si>
  <si>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</si>
  <si>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</si>
  <si>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</si>
  <si>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</si>
  <si>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</si>
  <si>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</si>
  <si>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</si>
  <si>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</si>
  <si>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</si>
  <si>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</si>
  <si>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</si>
  <si>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</si>
  <si>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</si>
  <si>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</si>
  <si>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</si>
  <si>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</si>
  <si>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</si>
  <si>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</si>
  <si>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</si>
  <si>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</si>
  <si>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</si>
  <si>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</si>
  <si>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</si>
  <si>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</si>
  <si>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</si>
  <si>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</si>
  <si>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</si>
  <si>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</si>
  <si>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</si>
  <si>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</si>
  <si>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</si>
  <si>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</si>
  <si>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</si>
  <si>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</si>
  <si>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</si>
  <si>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</si>
  <si>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</si>
  <si>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</si>
  <si>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</si>
  <si>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</si>
  <si>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</si>
  <si>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</si>
  <si>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</si>
  <si>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</si>
  <si>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</si>
  <si>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</si>
  <si>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</si>
  <si>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</si>
  <si>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</si>
  <si>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</si>
  <si>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</si>
  <si>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</si>
  <si>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</si>
  <si>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</si>
  <si>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</si>
  <si>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</si>
  <si>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</si>
  <si>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</si>
  <si>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</si>
  <si>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</si>
  <si>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</si>
  <si>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</si>
  <si>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</si>
  <si>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</si>
  <si>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</si>
  <si>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</si>
  <si>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</si>
  <si>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</si>
  <si>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</si>
  <si>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</si>
  <si>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</si>
  <si>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</si>
  <si>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</si>
  <si>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</si>
  <si>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</si>
  <si>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</si>
  <si>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</si>
  <si>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</si>
  <si>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</si>
  <si>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</si>
  <si>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</si>
  <si>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</si>
  <si>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</si>
  <si>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</si>
  <si>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</si>
  <si>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</si>
  <si>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</si>
  <si>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</si>
  <si>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</si>
  <si>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</si>
  <si>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</si>
  <si>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</si>
  <si>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</si>
  <si>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</si>
  <si>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</si>
  <si>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</si>
  <si>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</si>
  <si>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</si>
  <si>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</si>
  <si>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</si>
  <si>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</si>
  <si>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</si>
  <si>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</si>
  <si>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</si>
  <si>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</si>
  <si>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</si>
  <si>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</si>
  <si>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</si>
  <si>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</si>
  <si>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</si>
  <si>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</si>
  <si>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</si>
  <si>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</si>
  <si>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</si>
  <si>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</si>
  <si>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</si>
  <si>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</si>
  <si>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</si>
  <si>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</si>
  <si>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</si>
  <si>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</si>
  <si>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</si>
  <si>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</si>
  <si>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</si>
  <si>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</si>
  <si>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</si>
  <si>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</si>
  <si>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</si>
  <si>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</si>
  <si>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</si>
  <si>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</si>
  <si>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</si>
  <si>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</si>
  <si>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</si>
  <si>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</si>
  <si>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</si>
  <si>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</si>
  <si>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</si>
  <si>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</si>
  <si>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</si>
  <si>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</si>
  <si>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</si>
  <si>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</si>
  <si>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</si>
  <si>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</si>
  <si>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</si>
  <si>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</si>
  <si>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</si>
  <si>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</si>
  <si>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</si>
  <si>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</si>
  <si>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</si>
  <si>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</si>
  <si>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</si>
  <si>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</si>
  <si>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</si>
  <si>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</si>
  <si>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</si>
  <si>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</si>
  <si>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</si>
  <si>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</si>
  <si>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</si>
  <si>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</si>
  <si>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</si>
  <si>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</si>
  <si>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</si>
  <si>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</si>
  <si>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</si>
  <si>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</si>
  <si>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</si>
  <si>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</si>
  <si>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</si>
  <si>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</si>
  <si>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</si>
  <si>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</si>
  <si>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</si>
  <si>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</si>
  <si>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</si>
  <si>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</si>
  <si>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</si>
  <si>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</si>
  <si>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</si>
  <si>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</si>
  <si>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</si>
  <si>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</si>
  <si>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</si>
  <si>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</si>
  <si>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</si>
  <si>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</si>
  <si>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</si>
  <si>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</si>
  <si>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</si>
  <si>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</si>
  <si>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</si>
  <si>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</si>
  <si>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</si>
  <si>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</si>
  <si>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</si>
  <si>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</si>
  <si>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</si>
  <si>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</si>
  <si>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</si>
  <si>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</si>
  <si>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</si>
  <si>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</si>
  <si>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</si>
  <si>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</si>
  <si>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</si>
  <si>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</si>
  <si>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</si>
  <si>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</si>
  <si>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</si>
  <si>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</si>
  <si>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</si>
  <si>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</si>
  <si>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</si>
  <si>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</si>
  <si>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</si>
  <si>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</si>
  <si>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</si>
  <si>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</si>
  <si>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</si>
  <si>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</si>
  <si>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</si>
  <si>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</si>
  <si>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</si>
  <si>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</si>
  <si>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</si>
  <si>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</si>
  <si>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</si>
  <si>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</si>
  <si>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</si>
  <si>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</si>
  <si>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</si>
  <si>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</si>
  <si>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</si>
  <si>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</si>
  <si>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</si>
  <si>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</si>
  <si>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</si>
  <si>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</si>
  <si>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</si>
  <si>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</si>
  <si>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</si>
  <si>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</si>
  <si>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</si>
  <si>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</si>
  <si>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</si>
  <si>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</si>
  <si>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</si>
  <si>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</si>
  <si>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</si>
  <si>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</si>
  <si>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</si>
  <si>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</si>
  <si>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</si>
  <si>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</si>
  <si>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</si>
  <si>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</si>
  <si>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</si>
  <si>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</si>
  <si>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</si>
  <si>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</si>
  <si>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</si>
  <si>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</si>
  <si>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</si>
  <si>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</si>
  <si>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</si>
  <si>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</si>
  <si>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</si>
  <si>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</si>
  <si>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</si>
  <si>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</si>
  <si>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</si>
  <si>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</si>
  <si>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</si>
  <si>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</si>
  <si>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</si>
  <si>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</si>
  <si>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</si>
  <si>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</si>
  <si>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</si>
  <si>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</si>
  <si>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</si>
  <si>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</si>
  <si>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</si>
  <si>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</si>
  <si>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</si>
  <si>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</si>
  <si>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</si>
  <si>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</si>
  <si>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</si>
  <si>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</si>
  <si>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</si>
  <si>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</si>
  <si>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</si>
  <si>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</si>
  <si>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</si>
  <si>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</si>
  <si>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</si>
  <si>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</si>
  <si>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</si>
  <si>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</si>
  <si>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</si>
  <si>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</si>
  <si>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</si>
  <si>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</si>
  <si>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</si>
  <si>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</si>
  <si>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</si>
  <si>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</si>
  <si>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</si>
  <si>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</si>
  <si>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</si>
  <si>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</si>
  <si>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</si>
  <si>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</si>
  <si>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</si>
  <si>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</si>
  <si>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</si>
  <si>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</si>
  <si>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</si>
  <si>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</si>
  <si>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</si>
  <si>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</si>
  <si>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</si>
  <si>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</si>
  <si>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</si>
  <si>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</si>
  <si>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</si>
  <si>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</si>
  <si>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</si>
  <si>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</si>
  <si>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</si>
  <si>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</si>
  <si>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</si>
  <si>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</si>
  <si>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</si>
  <si>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</si>
  <si>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</si>
  <si>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</si>
  <si>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</si>
  <si>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</si>
  <si>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</si>
  <si>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</si>
  <si>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</si>
  <si>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</si>
  <si>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</si>
  <si>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</si>
  <si>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</si>
  <si>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</si>
  <si>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</si>
  <si>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</si>
  <si>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</si>
  <si>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</si>
  <si>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</si>
  <si>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</si>
  <si>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</si>
  <si>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</si>
  <si>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</si>
  <si>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</si>
  <si>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</si>
  <si>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</si>
  <si>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</si>
  <si>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</si>
  <si>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</si>
  <si>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</si>
  <si>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</si>
  <si>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</si>
  <si>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</si>
  <si>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</si>
  <si>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</si>
  <si>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</si>
  <si>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</si>
  <si>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</si>
  <si>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</si>
  <si>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</si>
  <si>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</si>
  <si>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</si>
  <si>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</si>
  <si>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</si>
  <si>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</si>
  <si>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</si>
  <si>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</si>
  <si>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</si>
  <si>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</si>
  <si>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</si>
  <si>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</si>
  <si>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</si>
  <si>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</si>
  <si>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</si>
  <si>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</si>
  <si>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</si>
  <si>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</si>
  <si>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</si>
  <si>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</si>
  <si>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</si>
  <si>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</si>
  <si>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</si>
  <si>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</si>
  <si>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</si>
  <si>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</si>
  <si>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</si>
  <si>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</si>
  <si>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</si>
  <si>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</si>
  <si>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</si>
  <si>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</si>
  <si>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</si>
  <si>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</si>
  <si>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</si>
  <si>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</si>
  <si>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</si>
  <si>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</si>
  <si>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</si>
  <si>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</si>
  <si>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</si>
  <si>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</si>
  <si>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</si>
  <si>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</si>
  <si>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</si>
  <si>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</si>
  <si>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</si>
  <si>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</si>
  <si>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</si>
  <si>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</si>
  <si>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</si>
  <si>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</si>
  <si>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</si>
  <si>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</si>
  <si>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</si>
  <si>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</si>
  <si>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</si>
  <si>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</si>
  <si>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</si>
  <si>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</si>
  <si>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</si>
  <si>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</si>
  <si>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</si>
  <si>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</si>
  <si>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</si>
  <si>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</si>
  <si>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</si>
  <si>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</si>
  <si>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</si>
  <si>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</si>
  <si>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</si>
  <si>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</si>
  <si>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</si>
  <si>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</si>
  <si>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</si>
  <si>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</si>
  <si>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</si>
  <si>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</si>
  <si>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</si>
  <si>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</si>
  <si>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</si>
  <si>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</si>
  <si>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</si>
  <si>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</si>
  <si>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</si>
  <si>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</si>
  <si>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</si>
  <si>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</si>
  <si>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</si>
  <si>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</si>
  <si>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</si>
  <si>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</si>
  <si>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</si>
  <si>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</si>
  <si>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</si>
  <si>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</si>
  <si>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</si>
  <si>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</si>
  <si>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</si>
  <si>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</si>
  <si>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</si>
  <si>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</si>
  <si>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</si>
  <si>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</si>
  <si>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</si>
  <si>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</si>
  <si>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</si>
  <si>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</si>
  <si>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</si>
  <si>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</si>
  <si>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</si>
  <si>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</si>
  <si>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</si>
  <si>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</si>
  <si>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</si>
  <si>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</si>
  <si>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</si>
  <si>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</si>
  <si>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</si>
  <si>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</si>
  <si>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</si>
  <si>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</si>
  <si>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</si>
  <si>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</si>
  <si>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</si>
  <si>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</si>
  <si>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</si>
  <si>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</si>
  <si>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</si>
  <si>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</si>
  <si>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</si>
  <si>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</si>
  <si>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</si>
  <si>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</si>
  <si>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</si>
  <si>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</si>
  <si>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</si>
  <si>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</si>
  <si>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</si>
  <si>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</si>
  <si>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</si>
  <si>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</si>
  <si>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</si>
  <si>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</si>
  <si>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</si>
  <si>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</si>
  <si>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</si>
  <si>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</si>
  <si>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</si>
  <si>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</si>
  <si>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</si>
  <si>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</si>
  <si>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</si>
  <si>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</si>
  <si>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</si>
  <si>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</si>
  <si>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</si>
  <si>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</si>
  <si>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</si>
  <si>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</si>
  <si>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</si>
  <si>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</si>
  <si>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</si>
  <si>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</si>
  <si>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</si>
  <si>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</si>
  <si>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</si>
  <si>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</si>
  <si>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</si>
  <si>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</si>
  <si>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</si>
  <si>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</si>
  <si>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</si>
  <si>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</si>
  <si>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</si>
  <si>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</si>
  <si>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</si>
  <si>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</si>
  <si>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</si>
  <si>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</si>
  <si>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</si>
  <si>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</si>
  <si>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</si>
  <si>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</si>
  <si>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</si>
  <si>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</si>
  <si>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</si>
  <si>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</si>
  <si>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</si>
  <si>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</si>
  <si>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</si>
  <si>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</si>
  <si>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</si>
  <si>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</si>
  <si>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</si>
  <si>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</si>
  <si>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</si>
  <si>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</si>
  <si>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</si>
  <si>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</si>
  <si>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</si>
  <si>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</si>
  <si>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</si>
  <si>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</si>
  <si>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</si>
  <si>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</si>
  <si>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</si>
  <si>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</si>
  <si>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</si>
  <si>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</si>
  <si>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</si>
  <si>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</si>
  <si>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</si>
  <si>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</si>
  <si>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</si>
  <si>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</si>
  <si>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</si>
  <si>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</si>
  <si>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</si>
  <si>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</si>
  <si>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</si>
  <si>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</si>
  <si>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</si>
  <si>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</si>
  <si>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</si>
  <si>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</si>
  <si>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</si>
  <si>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</si>
  <si>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</si>
  <si>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</si>
  <si>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</si>
  <si>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</si>
  <si>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</si>
  <si>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</si>
  <si>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</si>
  <si>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</si>
  <si>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</si>
  <si>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</si>
  <si>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</si>
  <si>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</si>
  <si>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</si>
  <si>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</si>
  <si>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</si>
  <si>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</si>
  <si>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</si>
  <si>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</si>
  <si>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</si>
  <si>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</si>
  <si>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</si>
  <si>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</si>
  <si>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</si>
  <si>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</si>
  <si>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</si>
  <si>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</si>
  <si>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</si>
  <si>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</si>
  <si>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</si>
  <si>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</si>
  <si>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</si>
  <si>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</si>
  <si>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</si>
  <si>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</si>
  <si>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</si>
  <si>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</si>
  <si>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</si>
  <si>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</si>
  <si>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</si>
  <si>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</si>
  <si>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</si>
  <si>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</si>
  <si>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</si>
  <si>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</si>
  <si>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</si>
  <si>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</si>
  <si>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</si>
  <si>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</si>
  <si>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</si>
  <si>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</si>
  <si>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</si>
  <si>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</si>
  <si>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</si>
  <si>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</si>
  <si>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</si>
  <si>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</si>
  <si>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</si>
  <si>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</si>
  <si>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</si>
  <si>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</si>
  <si>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</si>
  <si>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</si>
  <si>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</si>
  <si>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</si>
  <si>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</si>
  <si>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</si>
  <si>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</si>
  <si>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</si>
  <si>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</si>
  <si>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</si>
  <si>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</si>
  <si>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</si>
  <si>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</si>
  <si>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</si>
  <si>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</si>
  <si>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</si>
  <si>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</si>
  <si>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</si>
  <si>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</si>
  <si>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</si>
  <si>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</si>
  <si>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</si>
  <si>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</si>
  <si>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</si>
  <si>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</si>
  <si>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</si>
  <si>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</si>
  <si>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</si>
  <si>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</si>
  <si>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</si>
  <si>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</si>
  <si>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</si>
  <si>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</si>
  <si>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</si>
  <si>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</si>
  <si>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</si>
  <si>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</si>
  <si>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</si>
  <si>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</si>
  <si>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</si>
  <si>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</si>
  <si>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</si>
  <si>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</si>
  <si>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</si>
  <si>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</si>
  <si>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</si>
  <si>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</si>
  <si>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</si>
  <si>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</si>
  <si>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</si>
  <si>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</si>
  <si>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</si>
  <si>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</si>
  <si>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</si>
  <si>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</si>
  <si>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</si>
  <si>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</si>
  <si>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</si>
  <si>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</si>
  <si>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</si>
  <si>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</si>
  <si>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</si>
  <si>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</si>
  <si>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</si>
  <si>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</si>
  <si>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</si>
  <si>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</si>
  <si>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</si>
  <si>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</si>
  <si>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</si>
  <si>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</si>
  <si>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</si>
  <si>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</si>
  <si>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</si>
  <si>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</si>
  <si>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</si>
  <si>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</si>
  <si>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</si>
  <si>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</si>
  <si>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</si>
  <si>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</si>
  <si>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</si>
  <si>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</si>
  <si>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</si>
  <si>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</si>
  <si>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</si>
  <si>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</si>
  <si>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</si>
  <si>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</si>
  <si>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</si>
  <si>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</si>
  <si>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</si>
  <si>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</si>
  <si>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</si>
  <si>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</si>
  <si>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</si>
  <si>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</si>
  <si>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</si>
  <si>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</si>
  <si>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</si>
  <si>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</si>
  <si>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</si>
  <si>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</si>
  <si>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</si>
  <si>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</si>
  <si>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</si>
  <si>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</si>
  <si>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</si>
  <si>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</si>
  <si>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</si>
  <si>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</si>
  <si>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</si>
  <si>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</si>
  <si>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</si>
  <si>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</si>
  <si>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</si>
  <si>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</si>
  <si>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</si>
  <si>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</si>
  <si>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</si>
  <si>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</si>
  <si>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</si>
  <si>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</si>
  <si>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</si>
  <si>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</si>
  <si>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</si>
  <si>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</si>
  <si>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</si>
  <si>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</si>
  <si>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</si>
  <si>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</si>
  <si>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</si>
  <si>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</si>
  <si>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</si>
  <si>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</si>
  <si>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</si>
  <si>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</si>
  <si>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</si>
  <si>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</si>
  <si>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</si>
  <si>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</si>
  <si>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</si>
  <si>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</si>
  <si>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</si>
  <si>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</si>
  <si>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</si>
  <si>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</si>
  <si>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</si>
  <si>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</si>
  <si>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</si>
  <si>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</si>
  <si>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</si>
  <si>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</si>
  <si>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</si>
  <si>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</si>
  <si>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</si>
  <si>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</si>
  <si>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</si>
  <si>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</si>
  <si>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</si>
  <si>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</si>
  <si>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</si>
  <si>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</si>
  <si>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</si>
  <si>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</si>
  <si>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</si>
  <si>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</si>
  <si>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</si>
  <si>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</si>
  <si>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</si>
  <si>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</si>
  <si>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</si>
  <si>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</si>
  <si>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</si>
  <si>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</si>
  <si>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</si>
  <si>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</si>
  <si>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</si>
  <si>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</si>
  <si>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</si>
  <si>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</si>
  <si>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</si>
  <si>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</si>
  <si>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</si>
  <si>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</si>
  <si>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</si>
  <si>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</si>
  <si>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</si>
  <si>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</si>
  <si>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</si>
  <si>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</si>
  <si>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</si>
  <si>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</si>
  <si>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</si>
  <si>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</si>
  <si>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</si>
  <si>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</si>
  <si>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</si>
  <si>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</si>
  <si>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</si>
  <si>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</si>
  <si>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</si>
  <si>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</si>
  <si>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</si>
  <si>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</si>
  <si>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</si>
  <si>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</si>
  <si>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</si>
  <si>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</si>
  <si>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</si>
  <si>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</si>
  <si>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</si>
  <si>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</si>
  <si>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</si>
  <si>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</si>
  <si>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</si>
  <si>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</si>
  <si>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</si>
  <si>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</si>
  <si>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</si>
  <si>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</si>
  <si>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</si>
  <si>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</si>
  <si>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</si>
  <si>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</si>
  <si>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</si>
  <si>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</si>
  <si>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</si>
  <si>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</si>
  <si>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</si>
  <si>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</si>
  <si>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</si>
  <si>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</si>
  <si>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</si>
  <si>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</si>
  <si>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</si>
  <si>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</si>
  <si>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</si>
  <si>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</si>
  <si>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</si>
  <si>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</si>
  <si>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</si>
  <si>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</si>
  <si>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</si>
  <si>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</si>
  <si>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</si>
  <si>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</si>
  <si>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</si>
  <si>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</si>
  <si>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</si>
  <si>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</si>
  <si>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</si>
  <si>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</si>
  <si>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</si>
  <si>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</si>
  <si>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</si>
  <si>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</si>
  <si>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</si>
  <si>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</si>
  <si>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</si>
  <si>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</si>
  <si>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</si>
  <si>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</si>
  <si>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</si>
  <si>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</si>
  <si>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</si>
  <si>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</si>
  <si>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</si>
  <si>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</si>
  <si>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</si>
  <si>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</si>
  <si>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</si>
  <si>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</si>
  <si>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</si>
  <si>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</si>
  <si>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</si>
  <si>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</si>
  <si>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</si>
  <si>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</si>
  <si>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</si>
  <si>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</si>
  <si>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</si>
  <si>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</si>
  <si>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</si>
  <si>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</si>
  <si>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</si>
  <si>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</si>
  <si>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</si>
  <si>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</si>
  <si>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</si>
  <si>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</si>
  <si>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</si>
  <si>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</si>
  <si>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</si>
  <si>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</si>
  <si>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</si>
  <si>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</si>
  <si>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</si>
  <si>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</si>
  <si>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</si>
  <si>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</si>
  <si>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</si>
  <si>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</si>
  <si>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</si>
  <si>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</si>
  <si>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</si>
  <si>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</si>
  <si>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</si>
  <si>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</si>
  <si>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</si>
  <si>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</si>
  <si>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</si>
  <si>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</si>
  <si>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</si>
  <si>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</si>
  <si>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</si>
  <si>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</si>
  <si>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</si>
  <si>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</si>
  <si>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</si>
  <si>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</si>
  <si>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</si>
  <si>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</si>
  <si>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</si>
  <si>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</si>
  <si>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</si>
  <si>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</si>
  <si>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</si>
  <si>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</si>
  <si>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</si>
  <si>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</si>
  <si>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</si>
  <si>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</si>
  <si>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</si>
  <si>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</si>
  <si>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</si>
  <si>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</si>
  <si>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</si>
  <si>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</si>
  <si>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</si>
  <si>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</si>
  <si>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</si>
  <si>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</si>
  <si>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</si>
  <si>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</si>
  <si>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</si>
  <si>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</si>
  <si>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</si>
  <si>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</si>
  <si>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</si>
  <si>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</si>
  <si>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</si>
  <si>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</si>
  <si>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</si>
  <si>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</si>
  <si>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</si>
  <si>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</si>
  <si>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</si>
  <si>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</si>
  <si>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</si>
  <si>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</si>
  <si>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</si>
  <si>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</si>
  <si>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</si>
  <si>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</si>
  <si>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</si>
  <si>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</si>
  <si>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</si>
  <si>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</si>
  <si>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</si>
  <si>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</si>
  <si>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</si>
  <si>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</si>
  <si>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</si>
  <si>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</si>
  <si>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</si>
  <si>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</si>
  <si>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</si>
  <si>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</si>
  <si>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</si>
  <si>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</si>
  <si>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</si>
  <si>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</si>
  <si>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</si>
  <si>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</si>
  <si>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</si>
  <si>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</si>
  <si>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</si>
  <si>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</si>
  <si>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</si>
  <si>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</si>
  <si>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</si>
  <si>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</si>
  <si>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</si>
  <si>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</si>
  <si>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</si>
  <si>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</si>
  <si>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</si>
  <si>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</si>
  <si>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</si>
  <si>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</si>
  <si>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</si>
  <si>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</si>
  <si>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</si>
  <si>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</si>
  <si>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</si>
  <si>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</si>
  <si>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</si>
  <si>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</si>
  <si>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</si>
  <si>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</si>
  <si>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</si>
  <si>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</si>
  <si>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</si>
  <si>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</si>
  <si>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</si>
  <si>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</si>
  <si>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</si>
  <si>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</si>
  <si>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</si>
  <si>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</si>
  <si>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</si>
  <si>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</si>
  <si>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</si>
  <si>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</si>
  <si>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</si>
  <si>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</si>
  <si>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</si>
  <si>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</si>
  <si>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</si>
  <si>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</si>
  <si>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</si>
  <si>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</si>
  <si>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</si>
  <si>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</si>
  <si>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</si>
  <si>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</si>
  <si>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</si>
  <si>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</si>
  <si>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</si>
  <si>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</si>
  <si>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</si>
  <si>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</si>
  <si>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</si>
  <si>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</si>
  <si>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</si>
  <si>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</si>
  <si>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</si>
  <si>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</si>
  <si>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</si>
  <si>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</si>
  <si>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</si>
  <si>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</si>
  <si>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</si>
  <si>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</si>
  <si>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</si>
  <si>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</si>
  <si>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</si>
  <si>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</si>
  <si>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</si>
  <si>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</si>
  <si>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</si>
  <si>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</si>
  <si>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</si>
  <si>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</si>
  <si>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</si>
  <si>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</si>
  <si>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</si>
  <si>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</si>
  <si>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</si>
  <si>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</si>
  <si>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</si>
  <si>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</si>
  <si>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</si>
  <si>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</si>
  <si>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</si>
  <si>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</si>
  <si>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</si>
  <si>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</si>
  <si>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</si>
  <si>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</si>
  <si>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</si>
  <si>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</si>
  <si>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</si>
  <si>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</si>
  <si>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</si>
  <si>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</si>
  <si>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</si>
  <si>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</si>
  <si>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</si>
  <si>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</si>
  <si>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</si>
  <si>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</si>
  <si>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</si>
  <si>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</si>
  <si>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</si>
  <si>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</si>
  <si>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</si>
  <si>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</si>
  <si>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</si>
  <si>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</si>
  <si>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</si>
  <si>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</si>
  <si>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</si>
  <si>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</si>
  <si>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</si>
  <si>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</si>
  <si>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</si>
  <si>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</si>
  <si>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</si>
  <si>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</si>
  <si>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</si>
  <si>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</si>
  <si>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</si>
  <si>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</si>
  <si>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</si>
  <si>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</si>
  <si>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</si>
  <si>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</si>
  <si>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</si>
  <si>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</si>
  <si>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</si>
  <si>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</si>
  <si>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</si>
  <si>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</si>
  <si>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</si>
  <si>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</si>
  <si>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</si>
  <si>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</si>
  <si>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</si>
  <si>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</si>
  <si>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</si>
  <si>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</si>
  <si>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</si>
  <si>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</si>
  <si>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</si>
  <si>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</si>
  <si>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</si>
  <si>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</si>
  <si>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</si>
  <si>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</si>
  <si>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</si>
  <si>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</si>
  <si>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</si>
  <si>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</si>
  <si>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</si>
  <si>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</si>
  <si>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</si>
  <si>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</si>
  <si>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</si>
  <si>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</si>
  <si>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</si>
  <si>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</si>
  <si>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</si>
  <si>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</si>
  <si>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</si>
  <si>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</si>
  <si>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</si>
  <si>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</si>
  <si>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</si>
  <si>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</si>
  <si>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</si>
  <si>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</si>
  <si>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</si>
  <si>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</si>
  <si>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</si>
  <si>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</si>
  <si>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</si>
  <si>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</si>
  <si>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</si>
  <si>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</si>
  <si>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</si>
  <si>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</si>
  <si>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</si>
  <si>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</si>
  <si>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</si>
  <si>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</si>
  <si>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</si>
  <si>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</si>
  <si>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</si>
  <si>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</si>
  <si>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</si>
  <si>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</si>
  <si>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</si>
  <si>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</si>
  <si>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</si>
  <si>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</si>
  <si>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</si>
  <si>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</si>
  <si>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</si>
  <si>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</si>
  <si>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</si>
  <si>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</si>
  <si>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</si>
  <si>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</si>
  <si>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</si>
  <si>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</si>
  <si>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</si>
  <si>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</si>
  <si>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</si>
  <si>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</si>
  <si>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</si>
  <si>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</si>
  <si>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</si>
  <si>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</si>
  <si>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</si>
  <si>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</si>
  <si>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</si>
  <si>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</si>
  <si>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</si>
  <si>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</si>
  <si>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</si>
  <si>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</si>
  <si>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</si>
  <si>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</si>
  <si>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</si>
  <si>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</si>
  <si>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</si>
  <si>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</si>
  <si>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</si>
  <si>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</si>
  <si>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</si>
  <si>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</si>
  <si>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</si>
  <si>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</si>
  <si>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</si>
  <si>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</si>
  <si>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</si>
  <si>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</si>
  <si>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</si>
  <si>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</si>
  <si>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</si>
  <si>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</si>
  <si>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</si>
  <si>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</si>
  <si>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</si>
  <si>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</si>
  <si>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</si>
  <si>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</si>
  <si>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</si>
  <si>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</si>
  <si>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</si>
  <si>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</si>
  <si>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</si>
  <si>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</si>
  <si>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</si>
  <si>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</si>
  <si>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</si>
  <si>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</si>
  <si>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</si>
  <si>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</si>
  <si>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</si>
  <si>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</si>
  <si>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</si>
  <si>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</si>
  <si>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</si>
  <si>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</si>
  <si>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</si>
  <si>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</si>
  <si>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</si>
  <si>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</si>
  <si>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</si>
  <si>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</si>
  <si>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</si>
  <si>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</si>
  <si>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</si>
  <si>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</si>
  <si>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</si>
  <si>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</si>
  <si>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</si>
  <si>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</si>
  <si>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</si>
  <si>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</si>
  <si>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</si>
  <si>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</si>
  <si>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</si>
  <si>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</si>
  <si>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</si>
  <si>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</si>
  <si>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</si>
  <si>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</si>
  <si>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</si>
  <si>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</si>
  <si>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</si>
  <si>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</si>
  <si>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</si>
  <si>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</si>
  <si>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</si>
  <si>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</si>
  <si>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</si>
  <si>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</si>
  <si>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</si>
  <si>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</si>
  <si>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</si>
  <si>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</si>
  <si>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</si>
  <si>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</si>
  <si>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</si>
  <si>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</si>
  <si>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</si>
  <si>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</si>
  <si>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</si>
  <si>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</si>
  <si>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</si>
  <si>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</si>
  <si>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</si>
  <si>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</si>
  <si>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</si>
  <si>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</si>
  <si>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</si>
  <si>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</si>
  <si>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</si>
  <si>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</si>
  <si>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</si>
  <si>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</si>
  <si>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</si>
  <si>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</si>
  <si>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</si>
  <si>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</si>
  <si>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</si>
  <si>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</si>
  <si>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</si>
  <si>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</si>
  <si>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</si>
  <si>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</si>
  <si>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</si>
  <si>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</si>
  <si>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</si>
  <si>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</si>
  <si>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</si>
  <si>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</si>
  <si>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</si>
  <si>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</si>
  <si>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</si>
  <si>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</si>
  <si>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</si>
  <si>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</si>
  <si>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</si>
  <si>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</si>
  <si>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</si>
  <si>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</si>
  <si>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</si>
  <si>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</si>
  <si>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</si>
  <si>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</si>
  <si>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</si>
  <si>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</si>
  <si>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</si>
  <si>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</si>
  <si>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</si>
  <si>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</si>
  <si>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</si>
  <si>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</si>
  <si>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</si>
  <si>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</si>
  <si>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</si>
  <si>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</si>
  <si>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</si>
  <si>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</si>
  <si>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</si>
  <si>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</si>
  <si>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</si>
  <si>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</si>
  <si>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</si>
  <si>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</si>
  <si>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</si>
  <si>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</si>
  <si>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</si>
  <si>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</si>
  <si>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</si>
  <si>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</si>
  <si>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</si>
  <si>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</si>
  <si>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</si>
  <si>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</si>
  <si>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</si>
  <si>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</si>
  <si>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</si>
  <si>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</si>
  <si>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</si>
  <si>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</si>
  <si>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</si>
  <si>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</si>
  <si>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</si>
  <si>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</si>
  <si>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</si>
  <si>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</si>
  <si>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</si>
  <si>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</si>
  <si>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</si>
  <si>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</si>
  <si>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</si>
  <si>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</si>
  <si>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</si>
  <si>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</si>
  <si>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</si>
  <si>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</si>
  <si>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</si>
  <si>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</si>
  <si>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</si>
  <si>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</si>
  <si>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</si>
  <si>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</si>
  <si>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</si>
  <si>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</si>
  <si>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</si>
  <si>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</si>
  <si>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</si>
  <si>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</si>
  <si>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</si>
  <si>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</si>
  <si>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</si>
  <si>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</si>
  <si>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</si>
  <si>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</si>
  <si>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</si>
  <si>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</si>
  <si>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</si>
  <si>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</si>
  <si>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</si>
  <si>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</si>
  <si>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</si>
  <si>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</si>
  <si>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</si>
  <si>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</si>
  <si>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</si>
  <si>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</si>
  <si>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</si>
  <si>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</si>
  <si>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</si>
  <si>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</si>
  <si>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</si>
  <si>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</si>
  <si>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</si>
  <si>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</si>
  <si>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</si>
  <si>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</si>
  <si>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</si>
  <si>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</si>
  <si>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</si>
  <si>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</si>
  <si>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</si>
  <si>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</si>
  <si>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</si>
  <si>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</si>
  <si>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</si>
  <si>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</si>
  <si>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</si>
  <si>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</si>
  <si>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</si>
  <si>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</si>
  <si>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</si>
  <si>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</si>
  <si>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</si>
  <si>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</si>
  <si>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</si>
  <si>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</si>
  <si>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</si>
  <si>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</si>
  <si>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</si>
  <si>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</si>
  <si>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</si>
  <si>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</si>
  <si>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</si>
  <si>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</si>
  <si>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</si>
  <si>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</si>
  <si>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</si>
  <si>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</si>
  <si>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</si>
  <si>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</si>
  <si>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</si>
  <si>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</si>
  <si>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</si>
  <si>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</si>
  <si>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</si>
  <si>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</si>
  <si>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</si>
  <si>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</si>
  <si>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</si>
  <si>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</si>
  <si>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</si>
  <si>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</si>
  <si>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</si>
  <si>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</si>
  <si>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</si>
  <si>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</si>
  <si>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</si>
  <si>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</si>
  <si>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</si>
  <si>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</si>
  <si>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</si>
  <si>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</si>
  <si>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</si>
  <si>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</si>
  <si>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</si>
  <si>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</si>
  <si>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</si>
  <si>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</si>
  <si>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</si>
  <si>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</si>
  <si>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</si>
  <si>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</si>
  <si>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</si>
  <si>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</si>
  <si>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</si>
  <si>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</si>
  <si>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</si>
  <si>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</si>
  <si>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</si>
  <si>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</si>
  <si>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</si>
  <si>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</si>
  <si>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</si>
  <si>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</si>
  <si>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</si>
  <si>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</si>
  <si>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</si>
  <si>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</si>
  <si>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</si>
  <si>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</si>
  <si>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</si>
  <si>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</si>
  <si>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</si>
  <si>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</si>
  <si>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</si>
  <si>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</si>
  <si>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</si>
  <si>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</si>
  <si>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</si>
  <si>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</si>
  <si>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</si>
  <si>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</si>
  <si>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</si>
  <si>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</si>
  <si>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</si>
  <si>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</si>
  <si>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</si>
  <si>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</si>
  <si>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</si>
  <si>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</si>
  <si>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</si>
  <si>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</si>
  <si>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</si>
  <si>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</si>
  <si>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</si>
  <si>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</si>
  <si>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</si>
  <si>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</si>
  <si>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</si>
  <si>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</si>
  <si>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</si>
  <si>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</si>
  <si>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</si>
  <si>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</si>
  <si>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</si>
  <si>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</si>
  <si>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</si>
  <si>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</si>
  <si>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</si>
  <si>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</si>
  <si>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</si>
  <si>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</si>
  <si>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</si>
  <si>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</si>
  <si>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</si>
  <si>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</si>
  <si>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</si>
  <si>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</si>
  <si>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</si>
  <si>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</si>
  <si>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</si>
  <si>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</si>
  <si>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</si>
  <si>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</si>
  <si>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</si>
  <si>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</si>
  <si>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</si>
  <si>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</si>
  <si>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</si>
  <si>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</si>
  <si>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</si>
  <si>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</si>
  <si>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</si>
  <si>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</si>
  <si>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</si>
  <si>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</si>
  <si>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</si>
  <si>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</si>
  <si>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</si>
  <si>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</si>
  <si>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</si>
  <si>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</si>
  <si>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</si>
  <si>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</si>
  <si>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</si>
  <si>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</si>
  <si>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</si>
  <si>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</si>
  <si>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</si>
  <si>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</si>
  <si>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</si>
  <si>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</si>
  <si>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</si>
  <si>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</si>
  <si>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</si>
  <si>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</si>
  <si>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</si>
  <si>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</si>
  <si>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</si>
  <si>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</si>
  <si>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</si>
  <si>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</si>
  <si>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</si>
  <si>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</si>
  <si>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</si>
  <si>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</si>
  <si>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</si>
  <si>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</si>
  <si>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</si>
  <si>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</si>
  <si>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</si>
  <si>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</si>
  <si>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</si>
  <si>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</si>
  <si>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</si>
  <si>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</si>
  <si>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</si>
  <si>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</si>
  <si>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</si>
  <si>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</si>
  <si>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</si>
  <si>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</si>
  <si>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</si>
  <si>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</si>
  <si>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</si>
  <si>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</si>
  <si>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</si>
  <si>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</si>
  <si>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</si>
  <si>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</si>
  <si>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</si>
  <si>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</si>
  <si>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</si>
  <si>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</si>
  <si>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</si>
  <si>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</si>
  <si>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</si>
  <si>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</si>
  <si>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</si>
  <si>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</si>
  <si>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</si>
  <si>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</si>
  <si>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</si>
  <si>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</si>
  <si>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</si>
  <si>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</si>
  <si>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</si>
  <si>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</si>
  <si>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</si>
  <si>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</si>
  <si>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</si>
  <si>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</si>
  <si>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</si>
  <si>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</si>
  <si>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</si>
  <si>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</si>
  <si>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</si>
  <si>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</si>
  <si>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</si>
  <si>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</si>
  <si>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</si>
  <si>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</si>
  <si>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</si>
  <si>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</si>
  <si>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</si>
  <si>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</si>
  <si>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</si>
  <si>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</si>
  <si>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</si>
  <si>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</si>
  <si>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</si>
  <si>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</si>
  <si>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</si>
  <si>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</si>
  <si>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</si>
  <si>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</si>
  <si>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</si>
  <si>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</si>
  <si>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</si>
  <si>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</si>
  <si>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</si>
  <si>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</si>
  <si>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</si>
  <si>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</si>
  <si>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</si>
  <si>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</si>
  <si>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</si>
  <si>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</si>
  <si>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</si>
  <si>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</si>
  <si>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</si>
  <si>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</si>
  <si>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</si>
  <si>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</si>
  <si>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</si>
  <si>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</si>
  <si>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</si>
  <si>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</si>
  <si>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</si>
  <si>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</si>
  <si>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</si>
  <si>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</si>
  <si>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</si>
  <si>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</si>
  <si>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</si>
  <si>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</si>
  <si>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</si>
  <si>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</si>
  <si>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</si>
  <si>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</si>
  <si>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</si>
  <si>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</si>
  <si>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</si>
  <si>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</si>
  <si>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</si>
  <si>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</si>
  <si>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</si>
  <si>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</si>
  <si>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</si>
  <si>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</si>
  <si>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</si>
  <si>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</si>
  <si>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</si>
  <si>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</si>
  <si>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</si>
  <si>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</si>
  <si>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</si>
  <si>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</si>
  <si>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</si>
  <si>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</si>
  <si>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</si>
  <si>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</si>
  <si>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</si>
  <si>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</si>
  <si>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</si>
  <si>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</si>
  <si>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</si>
  <si>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</si>
  <si>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</si>
  <si>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</si>
  <si>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</si>
  <si>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</si>
  <si>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</si>
  <si>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</si>
  <si>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</si>
  <si>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</si>
  <si>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</si>
  <si>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</si>
  <si>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</si>
  <si>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</si>
  <si>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</si>
  <si>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</si>
  <si>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</si>
  <si>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</si>
  <si>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</si>
  <si>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</si>
  <si>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</si>
  <si>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</si>
  <si>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</si>
  <si>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</si>
  <si>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</si>
  <si>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</si>
  <si>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</si>
  <si>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</si>
  <si>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</si>
  <si>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</si>
  <si>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</si>
  <si>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</si>
  <si>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</si>
  <si>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</si>
  <si>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</si>
  <si>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</si>
  <si>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</si>
  <si>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</si>
  <si>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</si>
  <si>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</si>
  <si>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</si>
  <si>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</si>
  <si>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</si>
  <si>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</si>
  <si>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</si>
  <si>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</si>
  <si>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</si>
  <si>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</si>
  <si>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</si>
  <si>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</si>
  <si>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</si>
  <si>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</si>
  <si>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</si>
  <si>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</si>
  <si>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</si>
  <si>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</si>
  <si>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</si>
  <si>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</si>
  <si>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</si>
  <si>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</si>
  <si>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</si>
  <si>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</si>
  <si>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</si>
  <si>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</si>
  <si>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</si>
  <si>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</si>
  <si>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</si>
  <si>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</si>
  <si>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</si>
  <si>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</si>
  <si>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</si>
  <si>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</si>
  <si>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</si>
  <si>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</si>
  <si>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</si>
  <si>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</si>
  <si>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</si>
  <si>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</si>
  <si>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</si>
  <si>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</si>
  <si>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</si>
  <si>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</si>
  <si>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</si>
  <si>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</si>
  <si>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</si>
  <si>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</si>
  <si>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</si>
  <si>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</si>
  <si>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</si>
  <si>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</si>
  <si>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</si>
  <si>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</si>
  <si>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</si>
  <si>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</si>
  <si>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</si>
  <si>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</si>
  <si>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</si>
  <si>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</si>
  <si>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</si>
  <si>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</si>
  <si>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</si>
  <si>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</si>
  <si>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</si>
  <si>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</si>
  <si>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</si>
  <si>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</si>
  <si>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</si>
  <si>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</si>
  <si>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</si>
  <si>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</si>
  <si>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</si>
  <si>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</si>
  <si>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</si>
  <si>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</si>
  <si>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</si>
  <si>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</si>
  <si>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</si>
  <si>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</si>
  <si>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</si>
  <si>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</si>
  <si>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</si>
  <si>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</si>
  <si>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</si>
  <si>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</si>
  <si>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</si>
  <si>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</si>
  <si>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</si>
  <si>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</si>
  <si>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</si>
  <si>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</si>
  <si>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</si>
  <si>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</si>
  <si>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</si>
  <si>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</si>
  <si>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</si>
  <si>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</si>
  <si>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</si>
  <si>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</si>
  <si>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</si>
  <si>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</si>
  <si>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</si>
  <si>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</si>
  <si>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</si>
  <si>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</si>
  <si>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</si>
  <si>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</si>
  <si>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</si>
  <si>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</si>
  <si>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</si>
  <si>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</si>
  <si>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</si>
  <si>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</si>
  <si>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</si>
  <si>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</si>
  <si>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</si>
  <si>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</si>
  <si>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</si>
  <si>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</si>
  <si>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</si>
  <si>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</si>
  <si>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</si>
  <si>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</si>
  <si>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</si>
  <si>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</si>
  <si>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</si>
  <si>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</si>
  <si>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</si>
  <si>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</si>
  <si>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</si>
  <si>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</si>
  <si>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</si>
  <si>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</si>
  <si>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</si>
  <si>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</si>
  <si>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</si>
  <si>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</si>
  <si>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</si>
  <si>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</si>
  <si>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</si>
  <si>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</si>
  <si>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</si>
  <si>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</si>
  <si>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</si>
  <si>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</si>
  <si>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</si>
  <si>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</si>
  <si>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</si>
  <si>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</si>
  <si>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</si>
  <si>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</si>
  <si>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</si>
  <si>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</si>
  <si>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</si>
  <si>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</si>
  <si>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</si>
  <si>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</si>
  <si>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</si>
  <si>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</si>
  <si>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</si>
  <si>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</si>
  <si>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</si>
  <si>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</si>
  <si>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</si>
  <si>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</si>
  <si>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</si>
  <si>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</si>
  <si>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</si>
  <si>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</si>
  <si>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</si>
  <si>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</si>
  <si>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</si>
  <si>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</si>
  <si>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</si>
  <si>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</si>
  <si>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</si>
  <si>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</si>
  <si>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</si>
  <si>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</si>
  <si>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</si>
  <si>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</si>
  <si>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</si>
  <si>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</si>
  <si>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</si>
  <si>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</si>
  <si>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</si>
  <si>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</si>
  <si>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</si>
  <si>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</si>
  <si>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</si>
  <si>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</si>
  <si>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</si>
  <si>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</si>
  <si>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</si>
  <si>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</si>
  <si>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</si>
  <si>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</si>
  <si>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</si>
  <si>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</si>
  <si>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</si>
  <si>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</si>
  <si>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</si>
  <si>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</si>
  <si>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</si>
  <si>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</si>
  <si>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</si>
  <si>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</si>
  <si>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</si>
  <si>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</si>
  <si>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</si>
  <si>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</si>
  <si>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</si>
  <si>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</si>
  <si>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</si>
  <si>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</si>
  <si>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</si>
  <si>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</si>
  <si>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</si>
  <si>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</si>
  <si>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</si>
  <si>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</si>
  <si>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</si>
  <si>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</si>
  <si>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</si>
  <si>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</si>
  <si>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</si>
  <si>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</si>
  <si>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</si>
  <si>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</si>
  <si>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</si>
  <si>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</si>
  <si>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</si>
  <si>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</si>
  <si>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</si>
  <si>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</si>
  <si>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</si>
  <si>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</si>
  <si>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</si>
  <si>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</si>
  <si>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</si>
  <si>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</si>
  <si>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</si>
  <si>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</si>
  <si>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</si>
  <si>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</si>
  <si>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</si>
  <si>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</si>
  <si>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</si>
  <si>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</si>
  <si>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</si>
  <si>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</si>
  <si>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</si>
  <si>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</si>
  <si>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</si>
  <si>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</si>
  <si>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</si>
  <si>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</si>
  <si>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</si>
  <si>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</si>
  <si>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</si>
  <si>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</si>
  <si>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</si>
  <si>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</si>
  <si>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</si>
  <si>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</si>
  <si>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</si>
  <si>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</si>
  <si>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</si>
  <si>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</si>
  <si>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</si>
  <si>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</si>
  <si>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</si>
  <si>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</si>
  <si>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</si>
  <si>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</si>
  <si>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</si>
  <si>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</si>
  <si>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</si>
  <si>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</si>
  <si>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</si>
  <si>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</si>
  <si>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</si>
  <si>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</si>
  <si>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</si>
  <si>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</si>
  <si>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</si>
  <si>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</si>
  <si>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</si>
  <si>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</si>
  <si>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</si>
  <si>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</si>
  <si>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</si>
  <si>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</si>
  <si>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</si>
  <si>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</si>
  <si>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</si>
  <si>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</si>
  <si>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</si>
  <si>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</si>
  <si>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</si>
  <si>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</si>
  <si>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</si>
  <si>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</si>
  <si>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</si>
  <si>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</si>
  <si>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</si>
  <si>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</si>
  <si>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</si>
  <si>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</si>
  <si>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</si>
  <si>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</si>
  <si>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</si>
  <si>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</si>
  <si>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</si>
  <si>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</si>
  <si>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</si>
  <si>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</si>
  <si>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</si>
  <si>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</si>
  <si>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</si>
  <si>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</si>
  <si>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</si>
  <si>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</si>
  <si>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</si>
  <si>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</si>
  <si>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</si>
  <si>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</si>
  <si>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</si>
  <si>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</si>
  <si>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</si>
  <si>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</si>
  <si>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</si>
  <si>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</si>
  <si>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</si>
  <si>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</si>
  <si>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</si>
  <si>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</si>
  <si>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</si>
  <si>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</si>
  <si>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</si>
  <si>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</si>
  <si>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</si>
  <si>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</si>
  <si>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</si>
  <si>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</si>
  <si>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</si>
  <si>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</si>
  <si>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</si>
  <si>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</si>
  <si>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</si>
  <si>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</si>
  <si>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</si>
  <si>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</si>
  <si>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</si>
  <si>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</si>
  <si>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</si>
  <si>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</si>
  <si>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</si>
  <si>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</si>
  <si>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</si>
  <si>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</si>
  <si>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</si>
  <si>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</si>
  <si>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</si>
  <si>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</si>
  <si>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</si>
  <si>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</si>
  <si>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</si>
  <si>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</si>
  <si>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</si>
  <si>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</si>
  <si>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</si>
  <si>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</si>
  <si>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</si>
  <si>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</si>
  <si>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</si>
  <si>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</si>
  <si>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</si>
  <si>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</si>
  <si>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</si>
  <si>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</si>
  <si>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</si>
  <si>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</si>
  <si>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</si>
  <si>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</si>
  <si>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</si>
  <si>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</si>
  <si>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</si>
  <si>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</si>
  <si>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</si>
  <si>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</si>
  <si>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</si>
  <si>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</si>
  <si>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</si>
  <si>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</si>
  <si>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</si>
  <si>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</si>
  <si>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</si>
  <si>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</si>
  <si>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</si>
  <si>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</si>
  <si>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</si>
  <si>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</si>
  <si>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</si>
  <si>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</si>
  <si>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</si>
  <si>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</si>
  <si>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</si>
  <si>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</si>
  <si>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</si>
  <si>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</si>
  <si>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</si>
  <si>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</si>
  <si>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</si>
  <si>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</si>
  <si>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</si>
  <si>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</si>
  <si>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</si>
  <si>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</si>
  <si>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</si>
  <si>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</si>
  <si>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</si>
  <si>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</si>
  <si>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</si>
  <si>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</si>
  <si>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</si>
  <si>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</si>
  <si>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</si>
  <si>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</si>
  <si>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</si>
  <si>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</si>
  <si>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</si>
  <si>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</si>
  <si>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</si>
  <si>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</si>
  <si>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</si>
  <si>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</si>
  <si>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</si>
  <si>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</si>
  <si>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</si>
  <si>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</si>
  <si>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</si>
  <si>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</si>
  <si>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</si>
  <si>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</si>
  <si>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</si>
  <si>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</si>
  <si>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</si>
  <si>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</si>
  <si>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</si>
  <si>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</si>
  <si>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</si>
  <si>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</si>
  <si>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</si>
  <si>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</si>
  <si>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</si>
  <si>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</si>
  <si>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</si>
  <si>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</si>
  <si>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</si>
  <si>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</si>
  <si>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</si>
  <si>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</si>
  <si>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</si>
  <si>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</si>
  <si>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</si>
  <si>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</si>
  <si>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</si>
  <si>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</si>
  <si>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</si>
  <si>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</si>
  <si>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</si>
  <si>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</si>
  <si>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</si>
  <si>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</si>
  <si>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</si>
  <si>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</si>
  <si>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</si>
  <si>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</si>
  <si>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</si>
  <si>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</si>
  <si>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</si>
  <si>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</si>
  <si>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</si>
  <si>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</si>
  <si>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</si>
  <si>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</si>
  <si>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</si>
  <si>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</si>
  <si>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</si>
  <si>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</si>
  <si>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</si>
  <si>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</si>
  <si>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</si>
  <si>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</si>
  <si>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</si>
  <si>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</si>
  <si>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</si>
  <si>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</si>
  <si>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</si>
  <si>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</si>
  <si>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</si>
  <si>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</si>
  <si>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</si>
  <si>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</si>
  <si>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</si>
  <si>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</si>
  <si>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</si>
  <si>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</si>
  <si>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</si>
  <si>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</si>
  <si>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</si>
  <si>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</si>
  <si>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</si>
  <si>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</si>
  <si>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</si>
  <si>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</si>
  <si>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</si>
  <si>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</si>
  <si>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</si>
  <si>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</si>
  <si>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</si>
  <si>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</si>
  <si>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</si>
  <si>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</si>
  <si>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</si>
  <si>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</si>
  <si>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</si>
  <si>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</si>
  <si>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</si>
  <si>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</si>
  <si>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</si>
  <si>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</si>
  <si>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</si>
  <si>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</si>
  <si>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</si>
  <si>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</si>
  <si>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</si>
  <si>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</si>
  <si>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</si>
  <si>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</si>
  <si>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</si>
  <si>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</si>
  <si>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</si>
  <si>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</si>
  <si>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</si>
  <si>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</si>
  <si>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</si>
  <si>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</si>
  <si>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</si>
  <si>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</si>
  <si>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</si>
  <si>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</si>
  <si>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</si>
  <si>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</si>
  <si>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</si>
  <si>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</si>
  <si>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</si>
  <si>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</si>
  <si>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</si>
  <si>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</si>
  <si>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</si>
  <si>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</si>
  <si>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</si>
  <si>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</si>
  <si>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</si>
  <si>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</si>
  <si>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</si>
  <si>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</si>
  <si>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</si>
  <si>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</si>
  <si>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</si>
  <si>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</si>
  <si>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</si>
  <si>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</si>
  <si>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</si>
  <si>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</si>
  <si>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</si>
  <si>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</si>
  <si>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</si>
  <si>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</si>
  <si>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</si>
  <si>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</si>
  <si>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</si>
  <si>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</si>
  <si>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</si>
  <si>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</si>
  <si>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</si>
  <si>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</si>
  <si>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</si>
  <si>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</si>
  <si>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</si>
  <si>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</si>
  <si>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</si>
  <si>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</si>
  <si>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</si>
  <si>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</si>
  <si>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</si>
  <si>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</si>
  <si>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</si>
  <si>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</si>
  <si>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</si>
  <si>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</si>
  <si>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</si>
  <si>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</si>
  <si>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</si>
  <si>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</si>
  <si>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</si>
  <si>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</si>
  <si>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</si>
  <si>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</si>
  <si>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</si>
  <si>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</si>
  <si>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</si>
  <si>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</si>
  <si>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</si>
  <si>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</si>
  <si>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</si>
  <si>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</si>
  <si>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</si>
  <si>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</si>
  <si>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</si>
  <si>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</si>
  <si>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</si>
  <si>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</si>
  <si>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</si>
  <si>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</si>
  <si>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</si>
  <si>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</si>
  <si>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</si>
  <si>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</si>
  <si>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</si>
  <si>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</si>
  <si>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</si>
  <si>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</si>
  <si>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</si>
  <si>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</si>
  <si>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</si>
  <si>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</si>
  <si>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</si>
  <si>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</si>
  <si>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</si>
  <si>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</si>
  <si>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</si>
  <si>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</si>
  <si>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</si>
  <si>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</si>
  <si>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</si>
  <si>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</si>
  <si>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</si>
  <si>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</si>
  <si>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</si>
  <si>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</si>
  <si>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</si>
  <si>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</si>
  <si>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</si>
  <si>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</si>
  <si>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</si>
  <si>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</si>
  <si>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</si>
  <si>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</si>
  <si>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</si>
  <si>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</si>
  <si>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</si>
  <si>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</si>
  <si>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</si>
  <si>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</si>
  <si>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</si>
  <si>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</si>
  <si>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</si>
  <si>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</si>
  <si>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</si>
  <si>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</si>
  <si>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</si>
  <si>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</si>
  <si>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</si>
  <si>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</si>
  <si>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</si>
  <si>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</si>
  <si>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</si>
  <si>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</si>
  <si>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</si>
  <si>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</si>
  <si>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</si>
  <si>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</si>
  <si>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</si>
  <si>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</si>
  <si>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</si>
  <si>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</si>
  <si>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</si>
  <si>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</si>
  <si>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</si>
  <si>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</si>
  <si>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</si>
  <si>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</si>
  <si>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</si>
  <si>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</si>
  <si>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</si>
  <si>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</si>
  <si>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</si>
  <si>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</si>
  <si>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</si>
  <si>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</si>
  <si>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</si>
  <si>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</si>
  <si>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</si>
  <si>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</si>
  <si>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</si>
  <si>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</si>
  <si>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</si>
  <si>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</si>
  <si>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</si>
  <si>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</si>
  <si>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</si>
  <si>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</si>
  <si>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</si>
  <si>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</si>
  <si>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</si>
  <si>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</si>
  <si>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</si>
  <si>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</si>
  <si>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</si>
  <si>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</si>
  <si>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</si>
  <si>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</si>
  <si>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</si>
  <si>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</si>
  <si>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</si>
  <si>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</si>
  <si>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</si>
  <si>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</si>
  <si>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</si>
  <si>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</si>
  <si>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</si>
  <si>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</si>
  <si>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</si>
  <si>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</si>
  <si>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</si>
  <si>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</si>
  <si>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</si>
  <si>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</si>
  <si>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</si>
  <si>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</si>
  <si>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</si>
  <si>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</si>
  <si>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</si>
  <si>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</si>
  <si>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</si>
  <si>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</si>
  <si>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</si>
  <si>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</si>
  <si>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</si>
  <si>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</si>
  <si>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</si>
  <si>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</si>
  <si>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</si>
  <si>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</si>
  <si>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</si>
  <si>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</si>
  <si>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</si>
  <si>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</si>
  <si>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</si>
  <si>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</si>
  <si>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</si>
  <si>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</si>
  <si>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</si>
  <si>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</si>
  <si>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</si>
  <si>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</si>
  <si>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</si>
  <si>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</si>
  <si>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</si>
  <si>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</si>
  <si>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</si>
  <si>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</si>
  <si>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</si>
  <si>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</si>
  <si>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</si>
  <si>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</si>
  <si>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</si>
  <si>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</si>
  <si>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</si>
  <si>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</si>
  <si>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</si>
  <si>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</si>
  <si>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</si>
  <si>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</si>
  <si>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</si>
  <si>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</si>
  <si>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</si>
  <si>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</si>
  <si>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</si>
  <si>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</si>
  <si>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</si>
  <si>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</si>
  <si>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</si>
  <si>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</si>
  <si>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</si>
  <si>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</si>
  <si>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</si>
  <si>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</si>
  <si>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</si>
  <si>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</si>
  <si>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</si>
  <si>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</si>
  <si>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</si>
  <si>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</si>
  <si>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</si>
  <si>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</si>
  <si>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</si>
  <si>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</si>
  <si>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</si>
  <si>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</si>
  <si>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</si>
  <si>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</si>
  <si>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</si>
  <si>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</si>
  <si>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</si>
  <si>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</si>
  <si>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</si>
  <si>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</si>
  <si>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</si>
  <si>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</si>
  <si>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</si>
  <si>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</si>
  <si>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</si>
  <si>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</si>
  <si>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</si>
  <si>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</si>
  <si>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</si>
  <si>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</si>
  <si>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</si>
  <si>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</si>
  <si>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</si>
  <si>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</si>
  <si>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</si>
  <si>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</si>
  <si>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</si>
  <si>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</si>
  <si>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</si>
  <si>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</si>
  <si>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</si>
  <si>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</si>
  <si>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</si>
  <si>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</si>
  <si>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</si>
  <si>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</si>
  <si>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</si>
  <si>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</si>
  <si>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</si>
  <si>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</si>
  <si>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</si>
  <si>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</si>
  <si>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</si>
  <si>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</si>
  <si>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</si>
  <si>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</si>
  <si>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</si>
  <si>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</si>
  <si>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</si>
  <si>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</si>
  <si>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</si>
  <si>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</si>
  <si>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</si>
  <si>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</si>
  <si>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</si>
  <si>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</si>
  <si>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</si>
  <si>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</si>
  <si>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</si>
  <si>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</si>
  <si>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</si>
  <si>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</si>
  <si>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</si>
  <si>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</si>
  <si>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</si>
  <si>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</si>
  <si>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</si>
  <si>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</si>
  <si>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</si>
  <si>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</si>
  <si>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</si>
  <si>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</si>
  <si>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</si>
  <si>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</si>
  <si>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</si>
  <si>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</si>
  <si>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</si>
  <si>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</si>
  <si>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</si>
  <si>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</si>
  <si>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</si>
  <si>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</si>
  <si>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</si>
  <si>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</si>
  <si>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</si>
  <si>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</si>
  <si>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</si>
  <si>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</si>
  <si>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</si>
  <si>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</si>
  <si>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</si>
  <si>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</si>
  <si>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</si>
  <si>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</si>
  <si>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</si>
  <si>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</si>
  <si>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</si>
  <si>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</si>
  <si>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</si>
  <si>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</si>
  <si>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</si>
  <si>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</si>
  <si>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</si>
  <si>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</si>
  <si>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</si>
  <si>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</si>
  <si>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</si>
  <si>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</si>
  <si>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</si>
  <si>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</si>
  <si>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</si>
  <si>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</si>
  <si>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</si>
  <si>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</si>
  <si>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</si>
  <si>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</si>
  <si>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</si>
  <si>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</si>
  <si>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</si>
  <si>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</si>
  <si>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</si>
  <si>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</si>
  <si>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</si>
  <si>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</si>
  <si>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</si>
  <si>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</si>
  <si>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</si>
  <si>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</si>
  <si>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</si>
  <si>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</si>
  <si>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</si>
  <si>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</si>
  <si>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</si>
  <si>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</si>
  <si>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</si>
  <si>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</si>
  <si>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</si>
  <si>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</si>
  <si>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</si>
  <si>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</si>
  <si>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</si>
  <si>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</si>
  <si>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</si>
  <si>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</si>
  <si>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</si>
  <si>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</si>
  <si>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</si>
  <si>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</si>
  <si>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</si>
  <si>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</si>
  <si>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</si>
  <si>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</si>
  <si>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</si>
  <si>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</si>
  <si>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</si>
  <si>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</si>
  <si>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</si>
  <si>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</si>
  <si>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</si>
  <si>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</si>
  <si>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</si>
  <si>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</si>
  <si>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</si>
  <si>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</si>
  <si>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</si>
  <si>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</si>
  <si>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</si>
  <si>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</si>
  <si>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</si>
  <si>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</si>
  <si>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</si>
  <si>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</si>
  <si>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</si>
  <si>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</si>
  <si>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</si>
  <si>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</si>
  <si>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</si>
  <si>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</si>
  <si>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</si>
  <si>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</si>
  <si>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</si>
  <si>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</si>
  <si>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</si>
  <si>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</si>
  <si>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</si>
  <si>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</si>
  <si>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</si>
  <si>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</si>
  <si>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</si>
  <si>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</si>
  <si>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</si>
  <si>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</si>
  <si>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</si>
  <si>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</si>
  <si>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</si>
  <si>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</si>
  <si>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</si>
  <si>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</si>
  <si>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</si>
  <si>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</si>
  <si>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</si>
  <si>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</si>
  <si>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</si>
  <si>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</si>
  <si>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</si>
  <si>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</si>
  <si>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</si>
  <si>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</si>
  <si>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</si>
  <si>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</si>
  <si>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</si>
  <si>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</si>
  <si>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</si>
  <si>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</si>
  <si>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</si>
  <si>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</si>
  <si>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</si>
  <si>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</si>
  <si>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</si>
  <si>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</si>
  <si>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</si>
  <si>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</si>
  <si>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</si>
  <si>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</si>
  <si>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</si>
  <si>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</si>
  <si>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</si>
  <si>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</si>
  <si>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</si>
  <si>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</si>
  <si>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</si>
  <si>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</si>
  <si>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</si>
  <si>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</si>
  <si>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</si>
  <si>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</si>
  <si>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</si>
  <si>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</si>
  <si>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</si>
  <si>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</si>
  <si>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</si>
  <si>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</si>
  <si>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</si>
  <si>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</si>
  <si>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</si>
  <si>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</si>
  <si>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</si>
  <si>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</si>
  <si>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</si>
  <si>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</si>
  <si>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</si>
  <si>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</si>
  <si>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</si>
  <si>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</si>
  <si>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</si>
  <si>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</si>
  <si>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</si>
  <si>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</si>
  <si>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</si>
  <si>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</si>
  <si>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</si>
  <si>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</si>
  <si>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</si>
  <si>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</si>
  <si>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</si>
  <si>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</si>
  <si>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</si>
  <si>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</si>
  <si>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</si>
  <si>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</si>
  <si>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</si>
  <si>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</si>
  <si>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</si>
  <si>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</si>
  <si>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</si>
  <si>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</si>
  <si>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</si>
  <si>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</si>
  <si>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</si>
  <si>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</si>
  <si>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</si>
  <si>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</si>
  <si>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</si>
  <si>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</si>
  <si>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</si>
  <si>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</si>
  <si>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</si>
  <si>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</si>
  <si>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</si>
  <si>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</si>
  <si>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</si>
  <si>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</si>
  <si>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</si>
  <si>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</si>
  <si>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</si>
  <si>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</si>
  <si>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</si>
  <si>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</si>
  <si>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</si>
  <si>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</si>
  <si>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</si>
  <si>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</si>
  <si>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</si>
  <si>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</si>
  <si>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</si>
  <si>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</si>
  <si>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</si>
  <si>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</si>
  <si>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</si>
  <si>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</si>
  <si>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</si>
  <si>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</si>
  <si>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</si>
  <si>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</si>
  <si>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</si>
  <si>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</si>
  <si>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</si>
  <si>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</si>
  <si>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</si>
  <si>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</si>
  <si>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</si>
  <si>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</si>
  <si>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</si>
  <si>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</si>
  <si>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</si>
  <si>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</si>
  <si>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</si>
  <si>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</si>
  <si>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</si>
  <si>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</si>
  <si>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</si>
  <si>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</si>
  <si>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</si>
  <si>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</si>
  <si>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</si>
  <si>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</si>
  <si>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</si>
  <si>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</si>
  <si>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</si>
  <si>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</si>
  <si>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</si>
  <si>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</si>
  <si>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</si>
  <si>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</si>
  <si>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</si>
  <si>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</si>
  <si>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</si>
  <si>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</si>
  <si>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</si>
  <si>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</si>
  <si>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</si>
  <si>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</si>
  <si>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</si>
  <si>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</si>
  <si>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</si>
  <si>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</si>
  <si>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</si>
  <si>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</si>
  <si>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</si>
  <si>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</si>
  <si>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</si>
  <si>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</si>
  <si>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</si>
  <si>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</si>
  <si>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</si>
  <si>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</si>
  <si>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</si>
  <si>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</si>
  <si>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</si>
  <si>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</si>
  <si>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</si>
  <si>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</si>
  <si>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</si>
  <si>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</si>
  <si>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</si>
  <si>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</si>
  <si>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</si>
  <si>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</si>
  <si>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</si>
  <si>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</si>
  <si>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</si>
  <si>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</si>
  <si>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</si>
  <si>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</si>
  <si>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</si>
  <si>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</si>
  <si>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</si>
  <si>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</si>
  <si>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</si>
  <si>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</si>
  <si>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</si>
  <si>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</si>
  <si>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</si>
  <si>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</si>
  <si>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</si>
  <si>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</si>
  <si>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</si>
  <si>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</si>
  <si>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</si>
  <si>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</si>
  <si>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</si>
  <si>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</si>
  <si>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</si>
  <si>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</si>
  <si>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</si>
  <si>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</si>
  <si>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</si>
  <si>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</si>
  <si>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</si>
  <si>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</si>
  <si>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</si>
  <si>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</si>
  <si>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</si>
  <si>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</si>
  <si>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</si>
  <si>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</si>
  <si>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</si>
  <si>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</si>
  <si>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</si>
  <si>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</si>
  <si>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</si>
  <si>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</si>
  <si>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</si>
  <si>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</si>
  <si>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</si>
  <si>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</si>
  <si>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</si>
  <si>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</si>
  <si>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</si>
  <si>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</si>
  <si>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</si>
  <si>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</si>
  <si>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</si>
  <si>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</si>
  <si>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</si>
  <si>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</si>
  <si>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</si>
  <si>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</si>
  <si>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</si>
  <si>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</si>
  <si>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</si>
  <si>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</si>
  <si>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</si>
  <si>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</si>
  <si>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</si>
  <si>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</si>
  <si>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</si>
  <si>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</si>
  <si>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</si>
  <si>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</si>
  <si>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</si>
  <si>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</si>
  <si>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</si>
  <si>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</si>
  <si>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</si>
  <si>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</si>
  <si>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</si>
  <si>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</si>
  <si>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</si>
  <si>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</si>
  <si>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</si>
  <si>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</si>
  <si>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</si>
  <si>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</si>
  <si>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</si>
  <si>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</si>
  <si>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</si>
  <si>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</si>
  <si>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</si>
  <si>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</si>
  <si>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</si>
  <si>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</si>
  <si>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</si>
  <si>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</si>
  <si>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</si>
  <si>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</si>
  <si>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</si>
  <si>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</si>
  <si>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</si>
  <si>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</si>
  <si>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</si>
  <si>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</si>
  <si>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</si>
  <si>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</si>
  <si>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</si>
  <si>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</si>
  <si>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</si>
  <si>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</si>
  <si>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</si>
  <si>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</si>
  <si>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</si>
  <si>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</si>
  <si>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</si>
  <si>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</si>
  <si>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</si>
  <si>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</si>
  <si>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</si>
  <si>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</si>
  <si>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</si>
  <si>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</si>
  <si>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</si>
  <si>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</si>
  <si>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</si>
  <si>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</si>
  <si>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</si>
  <si>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</si>
  <si>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</si>
  <si>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</si>
  <si>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</si>
  <si>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</si>
  <si>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</si>
  <si>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</si>
  <si>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</si>
  <si>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</si>
  <si>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</si>
  <si>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</si>
  <si>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</si>
  <si>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</si>
  <si>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</si>
  <si>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</si>
  <si>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</si>
  <si>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</si>
  <si>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</si>
  <si>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</si>
  <si>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</si>
  <si>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</si>
  <si>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</si>
  <si>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</si>
  <si>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</si>
  <si>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</si>
  <si>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</si>
  <si>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</si>
  <si>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</si>
  <si>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</si>
  <si>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</si>
  <si>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</si>
  <si>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</si>
  <si>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</si>
  <si>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</si>
  <si>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</si>
  <si>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</si>
  <si>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</si>
  <si>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</si>
  <si>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</si>
  <si>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</si>
  <si>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</si>
  <si>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</si>
  <si>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</si>
  <si>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</si>
  <si>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</si>
  <si>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</si>
  <si>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</si>
  <si>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</si>
  <si>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</si>
  <si>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</si>
  <si>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</si>
  <si>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</si>
  <si>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</si>
  <si>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</si>
  <si>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</si>
  <si>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</si>
  <si>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</si>
  <si>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</si>
  <si>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</si>
  <si>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</si>
  <si>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</si>
  <si>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</si>
  <si>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</si>
  <si>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</si>
  <si>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</si>
  <si>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</si>
  <si>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</si>
  <si>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</si>
  <si>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</si>
  <si>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</si>
  <si>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</si>
  <si>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</si>
  <si>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</si>
  <si>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</si>
  <si>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</si>
  <si>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</si>
  <si>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</si>
  <si>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</si>
  <si>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</si>
  <si>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</si>
  <si>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</si>
  <si>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</si>
  <si>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</si>
  <si>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</si>
  <si>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</si>
  <si>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</si>
  <si>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</si>
  <si>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</si>
  <si>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</si>
  <si>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</si>
  <si>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</si>
  <si>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</si>
  <si>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</si>
  <si>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</si>
  <si>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</si>
  <si>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</si>
  <si>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</si>
  <si>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</si>
  <si>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</si>
  <si>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</si>
  <si>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</si>
  <si>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</si>
  <si>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</si>
  <si>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</si>
  <si>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</si>
  <si>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</si>
  <si>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</si>
  <si>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</si>
  <si>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</si>
  <si>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</si>
  <si>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</si>
  <si>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</si>
  <si>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</si>
  <si>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</si>
  <si>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</si>
  <si>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</si>
  <si>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</si>
  <si>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</si>
  <si>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</si>
  <si>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</si>
  <si>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</si>
  <si>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</si>
  <si>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</si>
  <si>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</si>
  <si>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</si>
  <si>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</si>
  <si>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</si>
  <si>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</si>
  <si>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</si>
  <si>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</si>
  <si>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</si>
  <si>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</si>
  <si>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</si>
  <si>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</si>
  <si>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</si>
  <si>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</si>
  <si>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</si>
  <si>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</si>
  <si>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</si>
  <si>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</si>
  <si>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</si>
  <si>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</si>
  <si>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</si>
  <si>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</si>
  <si>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</si>
  <si>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</si>
  <si>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</si>
  <si>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</si>
  <si>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</si>
  <si>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</si>
  <si>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</si>
  <si>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</si>
  <si>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</si>
  <si>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</si>
  <si>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</si>
  <si>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</si>
  <si>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</si>
  <si>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</si>
  <si>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</si>
  <si>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</si>
  <si>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</si>
  <si>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</si>
  <si>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</si>
  <si>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</si>
  <si>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</si>
  <si>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</si>
  <si>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</si>
  <si>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Heyco Products Corp.</t>
  </si>
  <si>
    <t>96-281-6836</t>
  </si>
  <si>
    <t>DUNS</t>
  </si>
  <si>
    <t>1800 Industrial Way North</t>
  </si>
  <si>
    <t>(732)-286-4336</t>
  </si>
  <si>
    <t>Patrick Sardoni</t>
  </si>
  <si>
    <t>patricksardoni@heyco.com</t>
  </si>
  <si>
    <t>Quality Representative</t>
  </si>
  <si>
    <t>Tin plated stamped terminals, blades and power components.</t>
  </si>
  <si>
    <t>100%</t>
  </si>
  <si>
    <t>https://www.heyco.com/about_certs.cfm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</si>
</sst>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tricksardoni@hey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yco.com/about_certs.cfm" TargetMode="External"/><Relationship Id="rId4" Type="http://schemas.openxmlformats.org/officeDocument/2006/relationships/hyperlink" Target="mailto:patricksardoni@hey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D5367F-195E-41E5-A477-4AD496AB1F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A5FC5E2-8188-4CC5-832D-732DE11A99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G87" sqref="G87:J8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t="s">
        <v>15825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2122E1B-9B1A-4818-BFA5-8FC1690EFE52}"/>
    <hyperlink ref="D20" r:id="rId4" xr:uid="{BB34496C-E76A-4148-871A-C6BCC77D4F0F}"/>
    <hyperlink ref="G77" r:id="rId5" xr:uid="{28E0F07D-054D-44AB-943F-B678E3DF009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15" sqref="C1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753</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Pirapora de Bom Jesus</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476</v>
      </c>
      <c r="X5" s="227">
        <f t="shared" ref="X5" ca="1" si="0">IF(AND(C5="Smelter not listed",OR(LEN(D5)=0,LEN(E5)=0)),1,0)</f>
        <v>0</v>
      </c>
      <c r="AB5" s="228" t="str">
        <f t="shared" ref="AB5" ca="1" si="1">B5&amp;C5</f>
        <v>TinMineracao Taboca S.A.</v>
      </c>
    </row>
    <row r="6" spans="1:34" s="227" customFormat="1" ht="20" customHeight="1">
      <c r="A6" s="262" t="s">
        <v>763</v>
      </c>
      <c r="B6" s="182" t="str">
        <f ca="1">IF(LEN(A6)=0,"",INDEX('Smelter Look-up'!$A:$A,MATCH($A6,'Smelter Look-up'!$E:$E,0)))</f>
        <v>Tin</v>
      </c>
      <c r="C6" s="186" t="str">
        <f ca="1">IF(LEN(A6)=0,"",INDEX('Smelter Look-up'!$C:$C,MATCH($A6,'Smelter Look-up'!$E:$E,0)))</f>
        <v>Thaisarco</v>
      </c>
      <c r="D6" s="230"/>
      <c r="E6" s="182" t="str">
        <f ca="1">IF(ISERROR($V6),"",OFFSET('Smelter Look-up'!$D$4,$V6-4,0)&amp;"")</f>
        <v>THAILAND</v>
      </c>
      <c r="F6" s="182" t="str">
        <f ca="1">IF(ISERROR($V6),"",OFFSET('Smelter Look-up'!$E$4,$V6-4,0))</f>
        <v>CID001898</v>
      </c>
      <c r="G6" s="182" t="str">
        <f ca="1">IF(C6=$X$4,IF(ISERROR($V6),"Enter smelter details","RMI"),IF(ISERROR($V6),"",OFFSET('Smelter Look-up'!$F$4,$V6-4,0)))</f>
        <v>RMI</v>
      </c>
      <c r="H6" s="183">
        <f ca="1">IF(ISERROR($V6),"",OFFSET('Smelter Look-up'!$G$4,$V6-4,0))</f>
        <v>0</v>
      </c>
      <c r="I6" s="184" t="str">
        <f ca="1">IF(ISERROR($V6),"",OFFSET('Smelter Look-up'!$H$4,$V6-4,0))</f>
        <v>Amphur Muang</v>
      </c>
      <c r="J6" s="184" t="str">
        <f ca="1">IF(ISERROR($V6),"",OFFSET('Smelter Look-up'!$I$4,$V6-4,0))</f>
        <v>Phuket</v>
      </c>
      <c r="K6" s="224"/>
      <c r="L6" s="224"/>
      <c r="M6" s="224"/>
      <c r="N6" s="224"/>
      <c r="O6" s="224"/>
      <c r="P6" s="185"/>
      <c r="Q6" s="225"/>
      <c r="R6" s="182" t="str">
        <f ca="1">IF(ISERROR($V6),"",OFFSET('Smelter Look-up'!$C$4,$V6-4,0)&amp;"")</f>
        <v>Thaisarco</v>
      </c>
      <c r="S6" s="181" t="str">
        <f t="shared" ref="S6:S37" ca="1" si="2">IF(B6="","",IF(ISERROR(MATCH($E6,CL,0)),"Unknown",INDIRECT("'C'!$A$"&amp;MATCH($E6,CL,0)+1)))</f>
        <v>TH</v>
      </c>
      <c r="T6" s="181" t="str">
        <f ca="1">IF(B6="","",IF(ISERROR(MATCH($J6,SorP!$B$1:$B$6226,0)),"",INDIRECT("'SorP'!$A$"&amp;MATCH($S6&amp;$J6,SorP!C:C,0))))</f>
        <v>TH-83</v>
      </c>
      <c r="U6" s="201"/>
      <c r="V6" s="226">
        <f ca="1">IF(C6="",NA(),IF(OR(C6="Smelter not listed",C6="Smelter not yet identified"),MATCH($B6&amp;$D6,'Smelter Look-up'!$J:$J,0),MATCH($B6&amp;$C6,'Smelter Look-up'!$J:$J,0)))</f>
        <v>521</v>
      </c>
      <c r="X6" s="227">
        <f t="shared" ref="X6:X37" ca="1" si="3">IF(AND(C6="Smelter not listed",OR(LEN(D6)=0,LEN(E6)=0)),1,0)</f>
        <v>0</v>
      </c>
      <c r="AB6" s="228" t="str">
        <f t="shared" ref="AB6:AB37" ca="1" si="4">B6&amp;C6</f>
        <v>TinThaisarco</v>
      </c>
    </row>
    <row r="7" spans="1:34" s="227" customFormat="1" ht="20" customHeight="1">
      <c r="A7" s="262" t="s">
        <v>760</v>
      </c>
      <c r="B7" s="182" t="str">
        <f ca="1">IF(LEN(A7)=0,"",INDEX('Smelter Look-up'!$A:$A,MATCH($A7,'Smelter Look-up'!$E:$E,0)))</f>
        <v>Tin</v>
      </c>
      <c r="C7" s="186" t="str">
        <f ca="1">IF(LEN(A7)=0,"",INDEX('Smelter Look-up'!$C:$C,MATCH($A7,'Smelter Look-up'!$E:$E,0)))</f>
        <v>PT Timah Tbk Mentok</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510</v>
      </c>
      <c r="X7" s="227">
        <f t="shared" ca="1" si="3"/>
        <v>0</v>
      </c>
      <c r="AB7" s="228" t="str">
        <f t="shared" ca="1" si="4"/>
        <v>TinPT Timah Tbk Mentok</v>
      </c>
    </row>
    <row r="8" spans="1:34" s="227" customFormat="1" ht="20" customHeight="1">
      <c r="A8" s="262" t="s">
        <v>752</v>
      </c>
      <c r="B8" s="182" t="str">
        <f ca="1">IF(LEN(A8)=0,"",INDEX('Smelter Look-up'!$A:$A,MATCH($A8,'Smelter Look-up'!$E:$E,0)))</f>
        <v>Tin</v>
      </c>
      <c r="C8" s="186" t="str">
        <f ca="1">IF(LEN(A8)=0,"",INDEX('Smelter Look-up'!$C:$C,MATCH($A8,'Smelter Look-up'!$E:$E,0)))</f>
        <v>Malaysia Smelting Corporation (MSC)</v>
      </c>
      <c r="D8" s="230"/>
      <c r="E8" s="182" t="str">
        <f ca="1">IF(ISERROR($V8),"",OFFSET('Smelter Look-up'!$D$4,$V8-4,0)&amp;"")</f>
        <v>MALAYSIA</v>
      </c>
      <c r="F8" s="182" t="str">
        <f ca="1">IF(ISERROR($V8),"",OFFSET('Smelter Look-up'!$E$4,$V8-4,0))</f>
        <v>CID001105</v>
      </c>
      <c r="G8" s="182" t="str">
        <f ca="1">IF(C8=$X$4,IF(ISERROR($V8),"Enter smelter details","RMI"),IF(ISERROR($V8),"",OFFSET('Smelter Look-up'!$F$4,$V8-4,0)))</f>
        <v>RMI</v>
      </c>
      <c r="H8" s="183">
        <f ca="1">IF(ISERROR($V8),"",OFFSET('Smelter Look-up'!$G$4,$V8-4,0))</f>
        <v>0</v>
      </c>
      <c r="I8" s="184" t="str">
        <f ca="1">IF(ISERROR($V8),"",OFFSET('Smelter Look-up'!$H$4,$V8-4,0))</f>
        <v>Butterworth</v>
      </c>
      <c r="J8" s="184" t="str">
        <f ca="1">IF(ISERROR($V8),"",OFFSET('Smelter Look-up'!$I$4,$V8-4,0))</f>
        <v>Pulau Pinang</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 ca="1">IF(C8="",NA(),IF(OR(C8="Smelter not listed",C8="Smelter not yet identified"),MATCH($B8&amp;$D8,'Smelter Look-up'!$J:$J,0),MATCH($B8&amp;$C8,'Smelter Look-up'!$J:$J,0)))</f>
        <v>468</v>
      </c>
      <c r="X8" s="227">
        <f t="shared" ca="1" si="3"/>
        <v>0</v>
      </c>
      <c r="AB8" s="228" t="str">
        <f t="shared" ca="1" si="4"/>
        <v>TinMalaysia Smelting Corporation (MSC)</v>
      </c>
    </row>
    <row r="9" spans="1:34" s="227" customFormat="1" ht="20" customHeight="1">
      <c r="A9" s="262" t="s">
        <v>745</v>
      </c>
      <c r="B9" s="182" t="str">
        <f ca="1">IF(LEN(A9)=0,"",INDEX('Smelter Look-up'!$A:$A,MATCH($A9,'Smelter Look-up'!$E:$E,0)))</f>
        <v>Tin</v>
      </c>
      <c r="C9" s="186" t="str">
        <f ca="1">IF(LEN(A9)=0,"",INDEX('Smelter Look-up'!$C:$C,MATCH($A9,'Smelter Look-up'!$E:$E,0)))</f>
        <v>EM Vinto</v>
      </c>
      <c r="D9" s="230"/>
      <c r="E9" s="182" t="str">
        <f ca="1">IF(ISERROR($V9),"",OFFSET('Smelter Look-up'!$D$4,$V9-4,0)&amp;"")</f>
        <v>BOLIVIA (PLURINATIONAL STATE OF)</v>
      </c>
      <c r="F9" s="182" t="str">
        <f ca="1">IF(ISERROR($V9),"",OFFSET('Smelter Look-up'!$E$4,$V9-4,0))</f>
        <v>CID000438</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EM Vinto</v>
      </c>
      <c r="S9" s="181" t="str">
        <f t="shared" ca="1" si="2"/>
        <v>BO</v>
      </c>
      <c r="T9" s="181" t="str">
        <f ca="1">IF(B9="","",IF(ISERROR(MATCH($J9,SorP!$B$1:$B$6226,0)),"",INDIRECT("'SorP'!$A$"&amp;MATCH($S9&amp;$J9,SorP!C:C,0))))</f>
        <v>BO-O</v>
      </c>
      <c r="U9" s="201"/>
      <c r="V9" s="226">
        <f ca="1">IF(C9="",NA(),IF(OR(C9="Smelter not listed",C9="Smelter not yet identified"),MATCH($B9&amp;$D9,'Smelter Look-up'!$J:$J,0),MATCH($B9&amp;$C9,'Smelter Look-up'!$J:$J,0)))</f>
        <v>428</v>
      </c>
      <c r="X9" s="227">
        <f t="shared" ca="1" si="3"/>
        <v>0</v>
      </c>
      <c r="AB9" s="228" t="str">
        <f t="shared" ca="1" si="4"/>
        <v>TinEM Vinto</v>
      </c>
    </row>
    <row r="10" spans="1:34" s="227" customFormat="1" ht="20" customHeight="1">
      <c r="A10" s="262" t="s">
        <v>754</v>
      </c>
      <c r="B10" s="182" t="str">
        <f ca="1">IF(LEN(A10)=0,"",INDEX('Smelter Look-up'!$A:$A,MATCH($A10,'Smelter Look-up'!$E:$E,0)))</f>
        <v>Tin</v>
      </c>
      <c r="C10" s="186" t="str">
        <f ca="1">IF(LEN(A10)=0,"",INDEX('Smelter Look-up'!$C:$C,MATCH($A10,'Smelter Look-up'!$E:$E,0)))</f>
        <v>Minsur</v>
      </c>
      <c r="D10" s="230"/>
      <c r="E10" s="182" t="str">
        <f ca="1">IF(ISERROR($V10),"",OFFSET('Smelter Look-up'!$D$4,$V10-4,0)&amp;"")</f>
        <v>PERU</v>
      </c>
      <c r="F10" s="182" t="str">
        <f ca="1">IF(ISERROR($V10),"",OFFSET('Smelter Look-up'!$E$4,$V10-4,0))</f>
        <v>CID001182</v>
      </c>
      <c r="G10" s="182" t="str">
        <f ca="1">IF(C10=$X$4,IF(ISERROR($V10),"Enter smelter details","RMI"),IF(ISERROR($V10),"",OFFSET('Smelter Look-up'!$F$4,$V10-4,0)))</f>
        <v>RMI</v>
      </c>
      <c r="H10" s="183">
        <f ca="1">IF(ISERROR($V10),"",OFFSET('Smelter Look-up'!$G$4,$V10-4,0))</f>
        <v>0</v>
      </c>
      <c r="I10" s="184" t="str">
        <f ca="1">IF(ISERROR($V10),"",OFFSET('Smelter Look-up'!$H$4,$V10-4,0))</f>
        <v>Paracas</v>
      </c>
      <c r="J10" s="184" t="str">
        <f ca="1">IF(ISERROR($V10),"",OFFSET('Smelter Look-up'!$I$4,$V10-4,0))</f>
        <v>Ika</v>
      </c>
      <c r="K10" s="224"/>
      <c r="L10" s="224"/>
      <c r="M10" s="224"/>
      <c r="N10" s="224"/>
      <c r="O10" s="224"/>
      <c r="P10" s="185"/>
      <c r="Q10" s="225"/>
      <c r="R10" s="182" t="str">
        <f ca="1">IF(ISERROR($V10),"",OFFSET('Smelter Look-up'!$C$4,$V10-4,0)&amp;"")</f>
        <v>Minsur</v>
      </c>
      <c r="S10" s="181" t="str">
        <f t="shared" ca="1" si="2"/>
        <v>PE</v>
      </c>
      <c r="T10" s="181" t="str">
        <f ca="1">IF(B10="","",IF(ISERROR(MATCH($J10,SorP!$B$1:$B$6226,0)),"",INDIRECT("'SorP'!$A$"&amp;MATCH($S10&amp;$J10,SorP!C:C,0))))</f>
        <v>PE-ICA</v>
      </c>
      <c r="U10" s="201"/>
      <c r="V10" s="226">
        <f ca="1">IF(C10="",NA(),IF(OR(C10="Smelter not listed",C10="Smelter not yet identified"),MATCH($B10&amp;$D10,'Smelter Look-up'!$J:$J,0),MATCH($B10&amp;$C10,'Smelter Look-up'!$J:$J,0)))</f>
        <v>481</v>
      </c>
      <c r="X10" s="227">
        <f t="shared" ca="1" si="3"/>
        <v>0</v>
      </c>
      <c r="AB10" s="228" t="str">
        <f t="shared" ca="1" si="4"/>
        <v>TinMinsur</v>
      </c>
    </row>
    <row r="11" spans="1:34" s="227" customFormat="1" ht="20" customHeight="1">
      <c r="A11" s="262" t="s">
        <v>748</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443</v>
      </c>
      <c r="X11" s="227">
        <f t="shared" ca="1" si="3"/>
        <v>0</v>
      </c>
      <c r="AB11" s="228" t="str">
        <f t="shared" ca="1" si="4"/>
        <v>TinGejiu Non-Ferrous Metal Processing Co., Ltd.</v>
      </c>
    </row>
    <row r="12" spans="1:34" s="227" customFormat="1" ht="20" customHeight="1">
      <c r="A12" s="262" t="s">
        <v>777</v>
      </c>
      <c r="B12" s="182" t="str">
        <f ca="1">IF(LEN(A12)=0,"",INDEX('Smelter Look-up'!$A:$A,MATCH($A12,'Smelter Look-up'!$E:$E,0)))</f>
        <v>Tin</v>
      </c>
      <c r="C12" s="186" t="str">
        <f ca="1">IF(LEN(A12)=0,"",INDEX('Smelter Look-up'!$C:$C,MATCH($A12,'Smelter Look-up'!$E:$E,0)))</f>
        <v>PT Timah Tbk Kundur</v>
      </c>
      <c r="D12" s="230"/>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4"/>
      <c r="L12" s="224"/>
      <c r="M12" s="224"/>
      <c r="N12" s="224"/>
      <c r="O12" s="224"/>
      <c r="P12" s="185"/>
      <c r="Q12" s="225"/>
      <c r="R12" s="182" t="str">
        <f ca="1">IF(ISERROR($V12),"",OFFSET('Smelter Look-up'!$C$4,$V12-4,0)&amp;"")</f>
        <v>PT Timah Tbk Kundur</v>
      </c>
      <c r="S12" s="181" t="str">
        <f t="shared" ca="1" si="2"/>
        <v>ID</v>
      </c>
      <c r="T12" s="181" t="str">
        <f ca="1">IF(B12="","",IF(ISERROR(MATCH($J12,SorP!$B$1:$B$6226,0)),"",INDIRECT("'SorP'!$A$"&amp;MATCH($S12&amp;$J12,SorP!C:C,0))))</f>
        <v>ID-RI</v>
      </c>
      <c r="U12" s="201"/>
      <c r="V12" s="226">
        <f ca="1">IF(C12="",NA(),IF(OR(C12="Smelter not listed",C12="Smelter not yet identified"),MATCH($B12&amp;$D12,'Smelter Look-up'!$J:$J,0),MATCH($B12&amp;$C12,'Smelter Look-up'!$J:$J,0)))</f>
        <v>509</v>
      </c>
      <c r="X12" s="227">
        <f t="shared" ca="1" si="3"/>
        <v>0</v>
      </c>
      <c r="AB12" s="228" t="str">
        <f t="shared" ca="1" si="4"/>
        <v>TinPT Timah Tbk Kundur</v>
      </c>
    </row>
    <row r="13" spans="1:34" s="227" customFormat="1" ht="20" customHeight="1">
      <c r="A13" s="262"/>
      <c r="B13" s="182"/>
      <c r="C13" s="186"/>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705B1D-20F5-40F0-AE59-3811EFF064F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Heyco Products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Patrick Sardoni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patricksardoni@heyco.com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(732)-286-4336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Patrick Sardoni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patricksardoni@heyco.com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https://www.heyco.com/about_certs.cfm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Sardoni, Patrick</cp:lastModifiedBy>
  <cp:lastPrinted>2015-04-21T20:47:43Z</cp:lastPrinted>
  <dcterms:created xsi:type="dcterms:W3CDTF">2010-06-21T21:00:23Z</dcterms:created>
  <dcterms:modified xsi:type="dcterms:W3CDTF">2025-05-15T12:33:38Z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